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 tabRatio="1000" activeTab="4"/>
  </bookViews>
  <sheets>
    <sheet name="Resumen" sheetId="1" r:id="rId1"/>
    <sheet name="Adecuaciones-Inversiones" sheetId="2" r:id="rId2"/>
    <sheet name="arequipe 4 onz" sheetId="3" r:id="rId3"/>
    <sheet name="arequipe x 500 g" sheetId="4" r:id="rId4"/>
    <sheet name="Cinsumos" sheetId="5" r:id="rId5"/>
    <sheet name="Gastos Operacionales" sheetId="6" r:id="rId6"/>
    <sheet name="Depreciacion" sheetId="7" r:id="rId7"/>
    <sheet name="Precios venta competencia" sheetId="8" r:id="rId8"/>
    <sheet name="Hoja1" sheetId="9" state="hidden" r:id="rId9"/>
  </sheets>
  <definedNames>
    <definedName name="_xlnm._FilterDatabase" localSheetId="4" hidden="1">Cinsumos!$D$2:$J$84</definedName>
    <definedName name="_FilterDatabase_0" localSheetId="4">Cinsumos!$A$1:$B$46</definedName>
    <definedName name="_FilterDatabase_0_0" localSheetId="4">Cinsumos!$A$1:$B$46</definedName>
    <definedName name="_FilterDatabase_0_0_0" localSheetId="4">Cinsumos!$A$1:$B$46</definedName>
    <definedName name="_FilterDatabase_0_0_0_0" localSheetId="4">Cinsumos!$A$1:$B$46</definedName>
    <definedName name="_FilterDatabase_0_0_0_0_0" localSheetId="4">Cinsumos!$A$1:$B$46</definedName>
    <definedName name="_ftn1" localSheetId="0">balance #REF!</definedName>
    <definedName name="_ftn2" localSheetId="0">balance #REF!</definedName>
    <definedName name="_ftnref1" localSheetId="0">balance #REF!</definedName>
    <definedName name="_ftnref2" localSheetId="0">balance #REF!</definedName>
    <definedName name="_ftnref3" localSheetId="0">balance #REF!</definedName>
    <definedName name="_Toc49503397" localSheetId="0">balance #REF!</definedName>
    <definedName name="_Toc69474014" localSheetId="0">balance #REF!</definedName>
    <definedName name="_Toc69475548" localSheetId="0">balance #REF!</definedName>
    <definedName name="_Toc69475549" localSheetId="0">balance #REF!</definedName>
    <definedName name="_Toc69475550" localSheetId="0">balance #REF!</definedName>
    <definedName name="_Toc69475551" localSheetId="0">balance #REF!</definedName>
    <definedName name="_Toc69475552" localSheetId="0">balance #REF!</definedName>
  </definedNames>
  <calcPr calcId="144525"/>
</workbook>
</file>

<file path=xl/comments1.xml><?xml version="1.0" encoding="utf-8"?>
<comments xmlns="http://schemas.openxmlformats.org/spreadsheetml/2006/main">
  <authors>
    <author>Celio Edilberto Pineda Rodriguez</author>
  </authors>
  <commentList>
    <comment ref="D14" authorId="0">
      <text>
        <r>
          <rPr>
            <b/>
            <sz val="9"/>
            <rFont val="Tahoma"/>
            <charset val="134"/>
          </rPr>
          <t>Celio Edilberto Pineda Rodriguez:</t>
        </r>
        <r>
          <rPr>
            <sz val="9"/>
            <rFont val="Tahoma"/>
            <charset val="134"/>
          </rPr>
          <t xml:space="preserve">
</t>
        </r>
        <r>
          <rPr>
            <sz val="16"/>
            <rFont val="Tahoma"/>
            <charset val="134"/>
          </rPr>
          <t>Costos variable 
Materias primas e insumo</t>
        </r>
      </text>
    </comment>
    <comment ref="L21" authorId="0">
      <text>
        <r>
          <rPr>
            <b/>
            <sz val="9"/>
            <rFont val="Tahoma"/>
            <charset val="1"/>
          </rPr>
          <t>Celio Edilberto Pineda Rodriguez:</t>
        </r>
        <r>
          <rPr>
            <sz val="9"/>
            <rFont val="Tahoma"/>
            <charset val="1"/>
          </rPr>
          <t xml:space="preserve">
</t>
        </r>
        <r>
          <rPr>
            <sz val="18"/>
            <rFont val="Tahoma"/>
            <charset val="134"/>
          </rPr>
          <t xml:space="preserve">
Costo variable 
Mano de obra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" authorId="0">
      <text>
        <r>
          <rPr>
            <sz val="10"/>
            <color rgb="FF000000"/>
            <rFont val="Arial"/>
            <charset val="1"/>
          </rPr>
          <t xml:space="preserve">En Abastos vale 95000 peos x 25 kg
</t>
        </r>
      </text>
    </comment>
    <comment ref="G24" authorId="0">
      <text>
        <r>
          <rPr>
            <sz val="10"/>
            <color rgb="FF000000"/>
            <rFont val="Arial"/>
            <charset val="1"/>
          </rPr>
          <t>Sojoplast lo vende más económico</t>
        </r>
      </text>
    </comment>
    <comment ref="G43" authorId="0">
      <text>
        <r>
          <rPr>
            <sz val="10"/>
            <color rgb="FF000000"/>
            <rFont val="Arial"/>
            <charset val="1"/>
          </rPr>
          <t xml:space="preserve">En Abastos vale 34000 el bulto de 50 kg
</t>
        </r>
      </text>
    </comment>
  </commentList>
</comments>
</file>

<file path=xl/comments3.xml><?xml version="1.0" encoding="utf-8"?>
<comments xmlns="http://schemas.openxmlformats.org/spreadsheetml/2006/main">
  <authors>
    <author>Celio Edilberto Pineda Rodriguez</author>
  </authors>
  <commentList>
    <comment ref="A9" authorId="0">
      <text>
        <r>
          <rPr>
            <b/>
            <sz val="9"/>
            <rFont val="Tahoma"/>
            <charset val="134"/>
          </rPr>
          <t>Celio Edilberto Pineda Rodriguez:</t>
        </r>
        <r>
          <rPr>
            <sz val="9"/>
            <rFont val="Tahoma"/>
            <charset val="134"/>
          </rPr>
          <t xml:space="preserve">
</t>
        </r>
        <r>
          <rPr>
            <sz val="20"/>
            <rFont val="Tahoma"/>
            <charset val="134"/>
          </rPr>
          <t xml:space="preserve">
Costos fijos</t>
        </r>
      </text>
    </comment>
    <comment ref="G11" authorId="0">
      <text>
        <r>
          <rPr>
            <b/>
            <sz val="9"/>
            <rFont val="Tahoma"/>
            <charset val="134"/>
          </rPr>
          <t>Celio Edilberto Pineda Rodriguez:</t>
        </r>
        <r>
          <rPr>
            <sz val="18"/>
            <rFont val="Tahoma"/>
            <charset val="134"/>
          </rPr>
          <t xml:space="preserve">
Depreciación equipos</t>
        </r>
      </text>
    </comment>
  </commentList>
</comments>
</file>

<file path=xl/sharedStrings.xml><?xml version="1.0" encoding="utf-8"?>
<sst xmlns="http://schemas.openxmlformats.org/spreadsheetml/2006/main" count="537" uniqueCount="300">
  <si>
    <t>Costos por periodo</t>
  </si>
  <si>
    <t>Producto</t>
  </si>
  <si>
    <t>Unidades producidas</t>
  </si>
  <si>
    <t>Costos variables</t>
  </si>
  <si>
    <t>Costos fijo</t>
  </si>
  <si>
    <t>Costo directos de fabricación</t>
  </si>
  <si>
    <t>Mano de Obra</t>
  </si>
  <si>
    <t>Gastos operacionales</t>
  </si>
  <si>
    <t>Arequipe por 500 g</t>
  </si>
  <si>
    <t>Arequipe por 4 onza</t>
  </si>
  <si>
    <t>Costo unitario producción</t>
  </si>
  <si>
    <t>Costo total periodo</t>
  </si>
  <si>
    <t>Ingresos periodo</t>
  </si>
  <si>
    <t>utilidad ejercicio</t>
  </si>
  <si>
    <t>Ingresos</t>
  </si>
  <si>
    <t>Precio en pesos (HOY)</t>
  </si>
  <si>
    <t>Venta</t>
  </si>
  <si>
    <t>Utilidad</t>
  </si>
  <si>
    <t>Total</t>
  </si>
  <si>
    <t>Venta por mes</t>
  </si>
  <si>
    <t>Total litros año</t>
  </si>
  <si>
    <t>Total litros mes</t>
  </si>
  <si>
    <t>Total litros día</t>
  </si>
  <si>
    <t>Margen utilizada</t>
  </si>
  <si>
    <t>%</t>
  </si>
  <si>
    <t>Inversiones</t>
  </si>
  <si>
    <t>Maquinaria y equipo</t>
  </si>
  <si>
    <t>Cantidad</t>
  </si>
  <si>
    <t>Valor / U</t>
  </si>
  <si>
    <t>Descremadora 125 L /h</t>
  </si>
  <si>
    <t>Tanque fermentación 200 l</t>
  </si>
  <si>
    <t>Termómetro digital</t>
  </si>
  <si>
    <t>Báscula digital 10 kg</t>
  </si>
  <si>
    <t>T</t>
  </si>
  <si>
    <t>tina quesera (300 litros)</t>
  </si>
  <si>
    <t>Dosificador yogur (liquidos)</t>
  </si>
  <si>
    <t>Tanque de almacenamiento refrigerado (500 l)</t>
  </si>
  <si>
    <t>Marmita gas (200 l)</t>
  </si>
  <si>
    <t>Registros santitarios</t>
  </si>
  <si>
    <t>Valor</t>
  </si>
  <si>
    <t>Registro queso pera</t>
  </si>
  <si>
    <t>Registro arequipe</t>
  </si>
  <si>
    <t>Yogures descremados con sabor</t>
  </si>
  <si>
    <t>}</t>
  </si>
  <si>
    <t>AREQUIPE VASO POR 4 ONZAS</t>
  </si>
  <si>
    <t>Costos directos de fabricación</t>
  </si>
  <si>
    <t>Relación producción</t>
  </si>
  <si>
    <t>Mano de obra invertida (horas)</t>
  </si>
  <si>
    <t>Materia prima</t>
  </si>
  <si>
    <t>Valor unitario</t>
  </si>
  <si>
    <t>Valor   total</t>
  </si>
  <si>
    <t>Cálculo para 40 litros</t>
  </si>
  <si>
    <t>LECHE (litro)</t>
  </si>
  <si>
    <t>Fecha</t>
  </si>
  <si>
    <t>No lote</t>
  </si>
  <si>
    <t>Leche (l)</t>
  </si>
  <si>
    <t>%Rendi</t>
  </si>
  <si>
    <t>Etapa</t>
  </si>
  <si>
    <t>Variable controlada</t>
  </si>
  <si>
    <t>Tiempo utilizado (min)</t>
  </si>
  <si>
    <t>Observación</t>
  </si>
  <si>
    <t>AZÚCAR (kg)</t>
  </si>
  <si>
    <t>Mes 1</t>
  </si>
  <si>
    <t>1007</t>
  </si>
  <si>
    <t>análisis fisicoquimicos leche</t>
  </si>
  <si>
    <t>&lt;=0,17% acidez</t>
  </si>
  <si>
    <t>BICARBONATO (gramos)</t>
  </si>
  <si>
    <t>Mes 2</t>
  </si>
  <si>
    <t>1014</t>
  </si>
  <si>
    <t>Pasteurización</t>
  </si>
  <si>
    <t>71°C</t>
  </si>
  <si>
    <t>CITRATO (gramos)</t>
  </si>
  <si>
    <t>Mes 3</t>
  </si>
  <si>
    <t>1021</t>
  </si>
  <si>
    <t>Asinal</t>
  </si>
  <si>
    <t xml:space="preserve">Enfriamiento </t>
  </si>
  <si>
    <t>35°C</t>
  </si>
  <si>
    <t>Benzoato (gramos)</t>
  </si>
  <si>
    <t>Mes 4</t>
  </si>
  <si>
    <t>1022</t>
  </si>
  <si>
    <t>Deslactosado</t>
  </si>
  <si>
    <t>60 min</t>
  </si>
  <si>
    <t>EMPAQUE (vaso 4 onz)</t>
  </si>
  <si>
    <t>Mes 5</t>
  </si>
  <si>
    <t>Adición bicarbonato (0,12 %), citrato (0,05%)  y azúcar (12,5%)</t>
  </si>
  <si>
    <t>si no es deslactosado (bicarbonato 1,6 g /litro)</t>
  </si>
  <si>
    <t>Cucharita</t>
  </si>
  <si>
    <t>Mes 6</t>
  </si>
  <si>
    <t xml:space="preserve">Evaporación </t>
  </si>
  <si>
    <t>70°Brix</t>
  </si>
  <si>
    <t>COMBUSTIBLE (kg)</t>
  </si>
  <si>
    <t>Mes 7</t>
  </si>
  <si>
    <t>60°C</t>
  </si>
  <si>
    <t>ETIQUETA</t>
  </si>
  <si>
    <t>Mes 8</t>
  </si>
  <si>
    <t>Benzoato (0,1%)</t>
  </si>
  <si>
    <t>Mes 9</t>
  </si>
  <si>
    <t>Empaque</t>
  </si>
  <si>
    <t>Mes 10</t>
  </si>
  <si>
    <t>Mano de obra</t>
  </si>
  <si>
    <t>Mes 11</t>
  </si>
  <si>
    <t>Etiquetado</t>
  </si>
  <si>
    <t>Trabajador</t>
  </si>
  <si>
    <t>Salario</t>
  </si>
  <si>
    <t>Total parcial</t>
  </si>
  <si>
    <t>Mes 12</t>
  </si>
  <si>
    <t>Almacenamiento</t>
  </si>
  <si>
    <t>20°C</t>
  </si>
  <si>
    <t>Coordinador</t>
  </si>
  <si>
    <t>Limpieza y desinfección</t>
  </si>
  <si>
    <t>Operarios</t>
  </si>
  <si>
    <t>Materia prima e insumos</t>
  </si>
  <si>
    <t>Con presta</t>
  </si>
  <si>
    <t>Valor Hora</t>
  </si>
  <si>
    <t>Arequipe por libra</t>
  </si>
  <si>
    <t>%Rend.</t>
  </si>
  <si>
    <t>SORBATO (gramos)</t>
  </si>
  <si>
    <t>EMPAQUE (vaso por libra)</t>
  </si>
  <si>
    <t>Productos Alimenticios UDCA</t>
  </si>
  <si>
    <t>Total gastado en el periodo</t>
  </si>
  <si>
    <t>valor kg</t>
  </si>
  <si>
    <t>MATERIA PRIMA</t>
  </si>
  <si>
    <t xml:space="preserve">VALOR UNITARIO </t>
  </si>
  <si>
    <t>IVA</t>
  </si>
  <si>
    <t>NETO</t>
  </si>
  <si>
    <t>Precio por kg</t>
  </si>
  <si>
    <t>PROVEEDOR</t>
  </si>
  <si>
    <t>Unidad</t>
  </si>
  <si>
    <t>AZUCAR (kg)</t>
  </si>
  <si>
    <t>Azucar de mesa (kg)</t>
  </si>
  <si>
    <t xml:space="preserve">ELECTRIFICACION Y BREAKER LTDA   </t>
  </si>
  <si>
    <t>Lacteo</t>
  </si>
  <si>
    <t>BICARBONATO (kg)</t>
  </si>
  <si>
    <t xml:space="preserve">benzoato de sodio x 25 kilos </t>
  </si>
  <si>
    <t>SMARTCOL</t>
  </si>
  <si>
    <t>CITRATO DE Na (kg)</t>
  </si>
  <si>
    <t>Benzoato de sodio (kg)</t>
  </si>
  <si>
    <t>CENTRO AGRO LECHERO</t>
  </si>
  <si>
    <t>COLORANTE (kg)</t>
  </si>
  <si>
    <t>Benzoato de sodio libra</t>
  </si>
  <si>
    <t>MARKET QUIMICOS</t>
  </si>
  <si>
    <t>Bicarbonado de Sodio Grado Alimenticio (kg)</t>
  </si>
  <si>
    <t>CUAJO por ml</t>
  </si>
  <si>
    <t>Bicarbonato de sodio kg</t>
  </si>
  <si>
    <t>EMPAQUE(1750 gr)</t>
  </si>
  <si>
    <t>Bicarbonato de sodio x 25 kilos</t>
  </si>
  <si>
    <t>EMPAQUE(180 gr)</t>
  </si>
  <si>
    <t>Carboximetil celulosa libra</t>
  </si>
  <si>
    <t>ESCENCIA (litro)</t>
  </si>
  <si>
    <t>Carboximetilcelulosa (g)</t>
  </si>
  <si>
    <t>ETIQUETAS</t>
  </si>
  <si>
    <t>Citrato de Na (kg)</t>
  </si>
  <si>
    <t>FRUTA (kg)</t>
  </si>
  <si>
    <t>Cloruro de Calcio grado alimenticio (g)</t>
  </si>
  <si>
    <t>HORA HOMBRE</t>
  </si>
  <si>
    <t>Colorantes , sobre x 25 g</t>
  </si>
  <si>
    <t>NITRITO (KG)</t>
  </si>
  <si>
    <t>Colorante Mora (25 gramos)</t>
  </si>
  <si>
    <t>Colorante Natural amarillo ref 8601  (25 gramos)</t>
  </si>
  <si>
    <t>SAL DE COCINA(kg)</t>
  </si>
  <si>
    <t>Colorante Natural rojo fresa (25 gramos)</t>
  </si>
  <si>
    <t>Benzoato (kg)</t>
  </si>
  <si>
    <t>Colorante Natural verde clorofila  (25 gramos)</t>
  </si>
  <si>
    <t>VASO CON TAPA DE 4 ONZ</t>
  </si>
  <si>
    <t>Cuajo liquido</t>
  </si>
  <si>
    <t>VASO GALLETA 1 0NZ</t>
  </si>
  <si>
    <t>Cuajo en polvo</t>
  </si>
  <si>
    <t>Vinipel (metro) 300mt</t>
  </si>
  <si>
    <t>Cultivo kumis (500 l)</t>
  </si>
  <si>
    <t>Cloruro de Calcio (g)</t>
  </si>
  <si>
    <t>Cultivo para yogurth con probióticos para 50 litros</t>
  </si>
  <si>
    <t>Cultivo yogur (500L)</t>
  </si>
  <si>
    <t>Cultivo para yogurth sin probióticos para 50 litros</t>
  </si>
  <si>
    <t>Empaque(1750 gr)</t>
  </si>
  <si>
    <t>Cuchara</t>
  </si>
  <si>
    <t>Empaque (180 gr)</t>
  </si>
  <si>
    <t>Vaso tapa polimero (lb)</t>
  </si>
  <si>
    <t>Gelatina sin sabor x kg</t>
  </si>
  <si>
    <t>Vaso tapa polimero (2 onz)</t>
  </si>
  <si>
    <t>Hidróxido de sodio 0,1 N x litro</t>
  </si>
  <si>
    <t>Esencia MORA (100 g)</t>
  </si>
  <si>
    <t>Lactasa por litros</t>
  </si>
  <si>
    <t>Esencia Guanábana (100 g)</t>
  </si>
  <si>
    <t>Papel Vinipel (Rollo por 3OO M o mas)</t>
  </si>
  <si>
    <t>Esencia Fresa 100 ml</t>
  </si>
  <si>
    <t>Parafina grado alimenticio (kg)</t>
  </si>
  <si>
    <t>Esencia Melocotón 100 ml</t>
  </si>
  <si>
    <t>Pectina rápida x kg</t>
  </si>
  <si>
    <t>Bolsa pera</t>
  </si>
  <si>
    <t>Sabores alimenticios 130 ML</t>
  </si>
  <si>
    <t>Lactasa 100 ml</t>
  </si>
  <si>
    <t>Sabores alimenticios 250 ML</t>
  </si>
  <si>
    <t>Parafina (kg)</t>
  </si>
  <si>
    <t>Sabores alimenticios 500 ML</t>
  </si>
  <si>
    <t>Colorante (ml)</t>
  </si>
  <si>
    <t>Sabor feijoa</t>
  </si>
  <si>
    <t>Sabor Fresa</t>
  </si>
  <si>
    <t>sabor frutos rojos</t>
  </si>
  <si>
    <t>Colorante Mora (100ml)</t>
  </si>
  <si>
    <t>Sabor kiwi</t>
  </si>
  <si>
    <t>Colorante Natural amarillo ref 8601 100 ml)</t>
  </si>
  <si>
    <t>Colorante Natural rojo fresa 100 ml)</t>
  </si>
  <si>
    <t>sabor mandarina</t>
  </si>
  <si>
    <t>Colorante Natural verde clorofila 100 ml)</t>
  </si>
  <si>
    <t>Sabor melocotón</t>
  </si>
  <si>
    <t>Esencia Feijoa 100 ml</t>
  </si>
  <si>
    <t>Sabor mora  por ml</t>
  </si>
  <si>
    <t>Esenci Mandarina 100 ml</t>
  </si>
  <si>
    <t>Sal de Cocina X 50 KG</t>
  </si>
  <si>
    <t>Sal refisal x 25 kilos</t>
  </si>
  <si>
    <t>Cultivo queso Gouda 500 l</t>
  </si>
  <si>
    <t>Sorbato de Sodio  (kg)</t>
  </si>
  <si>
    <t>Crema de leche (litro)</t>
  </si>
  <si>
    <t>Vaso con tapa de 4 ONZ</t>
  </si>
  <si>
    <t>Suero de leche cruda</t>
  </si>
  <si>
    <t>Vaso Galleta 1 0NZ</t>
  </si>
  <si>
    <t>Vaso tapa polimero (2 onz) . Arequipe</t>
  </si>
  <si>
    <t>Vaso tapa polimero (lb) – Arequipe</t>
  </si>
  <si>
    <t>Color Rojo mora</t>
  </si>
  <si>
    <t>Color amarillo annato</t>
  </si>
  <si>
    <t>Color rojo fresa</t>
  </si>
  <si>
    <t>pectina rápida</t>
  </si>
  <si>
    <t>gelatina ripo g</t>
  </si>
  <si>
    <t>ERMELINA ARRIENDO</t>
  </si>
  <si>
    <t>UNIDAD ACADEMICA DE PROCESOS INDUSTRIALES</t>
  </si>
  <si>
    <t>LACTEOS</t>
  </si>
  <si>
    <t>Arriendo</t>
  </si>
  <si>
    <t>LUZ</t>
  </si>
  <si>
    <t>AGUA</t>
  </si>
  <si>
    <t>MAQUINARIA Y EQUIPOS USO</t>
  </si>
  <si>
    <t>PRODUCTOS</t>
  </si>
  <si>
    <t>CONTROL DE CALIDAD</t>
  </si>
  <si>
    <t>TOTAL</t>
  </si>
  <si>
    <t>Yogur por 1750 gramos</t>
  </si>
  <si>
    <t>Yogur por 180 gramos</t>
  </si>
  <si>
    <t>Queso doble crema por kg</t>
  </si>
  <si>
    <t>Queso pera por kg</t>
  </si>
  <si>
    <t>Queso campesino por kg</t>
  </si>
  <si>
    <t>Ricota por 500 g</t>
  </si>
  <si>
    <t>Ricota por 110 g</t>
  </si>
  <si>
    <t>Cuajada</t>
  </si>
  <si>
    <t>metros cuadrados</t>
  </si>
  <si>
    <t>Lacteos</t>
  </si>
  <si>
    <t>ZONA SUR 222</t>
  </si>
  <si>
    <t>Pago Luz</t>
  </si>
  <si>
    <t>CONSUMO AGUA PROMEDIO</t>
  </si>
  <si>
    <t>Costos indirectos de fabricación</t>
  </si>
  <si>
    <t>Depreciación</t>
  </si>
  <si>
    <t>Detalle</t>
  </si>
  <si>
    <t>Precio unit</t>
  </si>
  <si>
    <t>Vida útil</t>
  </si>
  <si>
    <t>Anual</t>
  </si>
  <si>
    <t>Mensual</t>
  </si>
  <si>
    <t>Cocina semiindustrial</t>
  </si>
  <si>
    <t>Balanza (0-20 kg)</t>
  </si>
  <si>
    <t>Balanza (0-625 g)</t>
  </si>
  <si>
    <t>Cuarto frío (12 m3)</t>
  </si>
  <si>
    <t>Centrífuga</t>
  </si>
  <si>
    <t>PH metro</t>
  </si>
  <si>
    <t>Termómetro punción</t>
  </si>
  <si>
    <t>Tanque incubadora 250 l</t>
  </si>
  <si>
    <t>Mesa de trabajo (2x1)</t>
  </si>
  <si>
    <t>Ollas (80 litros)</t>
  </si>
  <si>
    <t>Agitador</t>
  </si>
  <si>
    <t>Uniformes de trabajo</t>
  </si>
  <si>
    <t>Equipos de seguridad (extint, mang)</t>
  </si>
  <si>
    <t>Utensilios de limpieza y desinfección</t>
  </si>
  <si>
    <t>Depreciación Trimestral</t>
  </si>
  <si>
    <t>Queso Campesino (g)</t>
  </si>
  <si>
    <t>Arequipe (g)</t>
  </si>
  <si>
    <t>Queso Pera (g)</t>
  </si>
  <si>
    <t>Yogurt (ml)</t>
  </si>
  <si>
    <t>Kumis (ml)</t>
  </si>
  <si>
    <t>D1</t>
  </si>
  <si>
    <t>No</t>
  </si>
  <si>
    <t>Jumbo</t>
  </si>
  <si>
    <t>Alpina</t>
  </si>
  <si>
    <t>Campo real</t>
  </si>
  <si>
    <t>Colanta</t>
  </si>
  <si>
    <t>Éxito</t>
  </si>
  <si>
    <t>Vecchio</t>
  </si>
  <si>
    <t>Yogo yogo</t>
  </si>
  <si>
    <t>Zarzal</t>
  </si>
  <si>
    <t>Alqueria</t>
  </si>
  <si>
    <t>Taeq</t>
  </si>
  <si>
    <t>Kefir</t>
  </si>
  <si>
    <t>De Antaño</t>
  </si>
  <si>
    <t>Campo Real</t>
  </si>
  <si>
    <t>Gloria</t>
  </si>
  <si>
    <t>Fasulac</t>
  </si>
  <si>
    <t>Frecampo</t>
  </si>
  <si>
    <t>Tapioka</t>
  </si>
  <si>
    <t>Carulla</t>
  </si>
  <si>
    <t>Superior</t>
  </si>
  <si>
    <t>Colacteos</t>
  </si>
  <si>
    <t>Dona leche</t>
  </si>
  <si>
    <t>Levapan</t>
  </si>
  <si>
    <t>La abuela</t>
  </si>
  <si>
    <t>Loone</t>
  </si>
  <si>
    <t>Frescampo</t>
  </si>
</sst>
</file>

<file path=xl/styles.xml><?xml version="1.0" encoding="utf-8"?>
<styleSheet xmlns="http://schemas.openxmlformats.org/spreadsheetml/2006/main">
  <numFmts count="18">
    <numFmt numFmtId="176" formatCode="[$$-240A]\ #,##0.00;[Red][$$-240A]\ #,##0.00"/>
    <numFmt numFmtId="177" formatCode="[$$-240A]#,##0.00;\([$$-240A]#,##0.00\)"/>
    <numFmt numFmtId="178" formatCode="&quot;$ &quot;#,##0.00"/>
    <numFmt numFmtId="179" formatCode="[$-409]m/d/yyyy"/>
    <numFmt numFmtId="180" formatCode="&quot; $ &quot;* #,##0.00\ ;&quot;-$ &quot;* #,##0.00\ ;&quot; $ &quot;* \-#\ ;@\ "/>
    <numFmt numFmtId="181" formatCode="#,##0.0"/>
    <numFmt numFmtId="182" formatCode="&quot; $ &quot;* #,##0\ ;&quot;-$ &quot;* #,##0\ ;&quot; $ &quot;* \-#\ ;@\ "/>
    <numFmt numFmtId="183" formatCode="&quot;$&quot;#,##0.00;&quot;($&quot;#,##0.00\)"/>
    <numFmt numFmtId="184" formatCode="&quot;$ &quot;#,##0;[Red]&quot;-$ &quot;#,##0"/>
    <numFmt numFmtId="185" formatCode="* #,##0\ ;\-* #,##0\ ;* &quot;- &quot;;@\ "/>
    <numFmt numFmtId="186" formatCode="d/m/yyyy\ h:mm:ss"/>
    <numFmt numFmtId="187" formatCode="* #,##0.00\ ;* \-#,##0.00\ ;* \-#\ ;@\ "/>
    <numFmt numFmtId="188" formatCode="[$$-240A]#,##0.00;[Red]\([$$-240A]#,##0.00\)"/>
    <numFmt numFmtId="189" formatCode="* #,##0.00\ ;\-* #,##0.00\ ;* &quot;- &quot;;@\ "/>
    <numFmt numFmtId="43" formatCode="_-* #,##0.00_-;\-* #,##0.00_-;_-* &quot;-&quot;??_-;_-@_-"/>
    <numFmt numFmtId="42" formatCode="_-&quot;£&quot;* #,##0_-;\-&quot;£&quot;* #,##0_-;_-&quot;£&quot;* &quot;-&quot;_-;_-@_-"/>
    <numFmt numFmtId="41" formatCode="_-* #,##0_-;\-* #,##0_-;_-* &quot;-&quot;_-;_-@_-"/>
    <numFmt numFmtId="190" formatCode="[$$-240A]#,##0.0;[Red]\([$$-240A]#,##0.0\)"/>
  </numFmts>
  <fonts count="62">
    <font>
      <sz val="10"/>
      <color rgb="FF000000"/>
      <name val="Arial"/>
      <charset val="1"/>
    </font>
    <font>
      <b/>
      <sz val="10"/>
      <color rgb="FF010000"/>
      <name val="Arial"/>
      <charset val="1"/>
    </font>
    <font>
      <sz val="10"/>
      <color rgb="FF010000"/>
      <name val="Arial"/>
      <charset val="1"/>
    </font>
    <font>
      <b/>
      <sz val="10"/>
      <color rgb="FF000000"/>
      <name val="Arial"/>
      <charset val="1"/>
    </font>
    <font>
      <sz val="10"/>
      <color theme="0"/>
      <name val="Arial"/>
      <charset val="1"/>
    </font>
    <font>
      <u/>
      <sz val="10"/>
      <color theme="10"/>
      <name val="Arial"/>
      <charset val="1"/>
    </font>
    <font>
      <sz val="14"/>
      <color rgb="FF010000"/>
      <name val="Cambria"/>
      <charset val="1"/>
    </font>
    <font>
      <b/>
      <sz val="9"/>
      <color rgb="FF010000"/>
      <name val="Cambria"/>
      <charset val="1"/>
    </font>
    <font>
      <b/>
      <sz val="10"/>
      <name val="Tahoma"/>
      <charset val="1"/>
    </font>
    <font>
      <sz val="10"/>
      <color rgb="FFFF0000"/>
      <name val="Cambria"/>
      <charset val="1"/>
    </font>
    <font>
      <b/>
      <i/>
      <sz val="10"/>
      <color rgb="FF010000"/>
      <name val="Cambria"/>
      <charset val="1"/>
    </font>
    <font>
      <sz val="10"/>
      <name val="Arial"/>
      <charset val="1"/>
    </font>
    <font>
      <sz val="10"/>
      <color rgb="FF000000"/>
      <name val="Tahoma"/>
      <charset val="1"/>
    </font>
    <font>
      <sz val="10"/>
      <color rgb="FF010000"/>
      <name val="Cambria"/>
      <charset val="1"/>
    </font>
    <font>
      <sz val="10"/>
      <color rgb="FFFF0000"/>
      <name val="Tahoma"/>
      <charset val="1"/>
    </font>
    <font>
      <b/>
      <sz val="10"/>
      <color rgb="FF010000"/>
      <name val="Cambria"/>
      <charset val="1"/>
    </font>
    <font>
      <sz val="10"/>
      <color rgb="FFFFFFFF"/>
      <name val="Tahoma"/>
      <charset val="1"/>
    </font>
    <font>
      <sz val="11"/>
      <color rgb="FFFF0000"/>
      <name val="Cambria"/>
      <charset val="1"/>
    </font>
    <font>
      <sz val="11"/>
      <name val="Cambria"/>
      <charset val="1"/>
    </font>
    <font>
      <b/>
      <sz val="10"/>
      <color rgb="FFFF0000"/>
      <name val="Tahoma"/>
      <charset val="1"/>
    </font>
    <font>
      <sz val="15"/>
      <color rgb="FF010000"/>
      <name val="Cambria"/>
      <charset val="1"/>
    </font>
    <font>
      <b/>
      <i/>
      <sz val="11"/>
      <color rgb="FF010000"/>
      <name val="Cambria"/>
      <charset val="1"/>
    </font>
    <font>
      <sz val="10"/>
      <color rgb="FFFF0000"/>
      <name val="Arial"/>
      <charset val="1"/>
    </font>
    <font>
      <b/>
      <sz val="16"/>
      <color rgb="FF010000"/>
      <name val="Cambria"/>
      <charset val="1"/>
    </font>
    <font>
      <sz val="16"/>
      <color rgb="FF010000"/>
      <name val="Cambria"/>
      <charset val="1"/>
    </font>
    <font>
      <b/>
      <i/>
      <sz val="16"/>
      <color rgb="FF010000"/>
      <name val="Cambria"/>
      <charset val="1"/>
    </font>
    <font>
      <b/>
      <i/>
      <sz val="10"/>
      <color rgb="FF010000"/>
      <name val="Arial"/>
      <charset val="1"/>
    </font>
    <font>
      <sz val="14"/>
      <color rgb="FF000000"/>
      <name val="Arial"/>
      <charset val="1"/>
    </font>
    <font>
      <sz val="10"/>
      <name val="Arial"/>
      <charset val="1"/>
    </font>
    <font>
      <sz val="11"/>
      <color rgb="FF000000"/>
      <name val="Calibri Light"/>
      <charset val="1"/>
    </font>
    <font>
      <b/>
      <sz val="12"/>
      <color rgb="FF000000"/>
      <name val="Calibri"/>
      <charset val="1"/>
    </font>
    <font>
      <b/>
      <sz val="12"/>
      <color rgb="FF000000"/>
      <name val="Arial"/>
      <charset val="1"/>
    </font>
    <font>
      <sz val="12"/>
      <color rgb="FF000000"/>
      <name val="Arial"/>
      <charset val="1"/>
    </font>
    <font>
      <sz val="12"/>
      <color rgb="FF000000"/>
      <name val="Calibri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sz val="22"/>
      <color theme="0"/>
      <name val="Arial"/>
      <charset val="1"/>
    </font>
    <font>
      <b/>
      <sz val="14"/>
      <color theme="0"/>
      <name val="Arial"/>
      <charset val="134"/>
    </font>
    <font>
      <sz val="20"/>
      <color rgb="FF000000"/>
      <name val="Arial"/>
      <charset val="1"/>
    </font>
    <font>
      <sz val="24"/>
      <color theme="0"/>
      <name val="Arial"/>
      <charset val="1"/>
    </font>
    <font>
      <b/>
      <sz val="20"/>
      <color rgb="FF000000"/>
      <name val="Arial"/>
      <charset val="1"/>
    </font>
    <font>
      <sz val="20"/>
      <name val="Arial"/>
      <charset val="1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0000"/>
      <name val="Calibri"/>
      <charset val="1"/>
    </font>
  </fonts>
  <fills count="53">
    <fill>
      <patternFill patternType="none"/>
    </fill>
    <fill>
      <patternFill patternType="gray125"/>
    </fill>
    <fill>
      <patternFill patternType="solid">
        <fgColor rgb="FFFFFF00"/>
        <bgColor rgb="FFFFFF38"/>
      </patternFill>
    </fill>
    <fill>
      <patternFill patternType="solid">
        <fgColor rgb="FF00FF00"/>
        <bgColor rgb="FF5EB91E"/>
      </patternFill>
    </fill>
    <fill>
      <patternFill patternType="solid">
        <fgColor rgb="FFD9D9D9"/>
        <bgColor rgb="FFDAE3F3"/>
      </patternFill>
    </fill>
    <fill>
      <patternFill patternType="solid">
        <fgColor rgb="FFAFABAB"/>
        <bgColor rgb="FFB3B3B3"/>
      </patternFill>
    </fill>
    <fill>
      <patternFill patternType="solid">
        <fgColor rgb="FFFF0000"/>
        <bgColor rgb="FFF10D0C"/>
      </patternFill>
    </fill>
    <fill>
      <patternFill patternType="solid">
        <fgColor rgb="FF81D41A"/>
        <bgColor rgb="FF5EB91E"/>
      </patternFill>
    </fill>
    <fill>
      <patternFill patternType="solid">
        <fgColor rgb="FFE8F2A1"/>
        <bgColor rgb="FFE2F0D9"/>
      </patternFill>
    </fill>
    <fill>
      <patternFill patternType="solid">
        <fgColor rgb="FFFFFF38"/>
        <bgColor rgb="FFFFFF00"/>
      </patternFill>
    </fill>
    <fill>
      <patternFill patternType="solid">
        <fgColor rgb="FFFFFFFF"/>
        <bgColor rgb="FFE2F0D9"/>
      </patternFill>
    </fill>
    <fill>
      <patternFill patternType="solid">
        <fgColor rgb="FF5EB91E"/>
        <bgColor rgb="FF81D41A"/>
      </patternFill>
    </fill>
    <fill>
      <patternFill patternType="solid">
        <fgColor rgb="FFC0C0C0"/>
        <bgColor rgb="FFCCCCCC"/>
      </patternFill>
    </fill>
    <fill>
      <patternFill patternType="solid">
        <fgColor rgb="FFE2F0D9"/>
        <bgColor rgb="FFDEE6EF"/>
      </patternFill>
    </fill>
    <fill>
      <patternFill patternType="solid">
        <fgColor rgb="FFDEE6EF"/>
        <bgColor rgb="FFDAE3F3"/>
      </patternFill>
    </fill>
    <fill>
      <patternFill patternType="solid">
        <fgColor rgb="FFD4EA6B"/>
        <bgColor rgb="FFE8F2A1"/>
      </patternFill>
    </fill>
    <fill>
      <patternFill patternType="solid">
        <fgColor rgb="FFDAE3F3"/>
        <bgColor rgb="FFDEE6EF"/>
      </patternFill>
    </fill>
    <fill>
      <patternFill patternType="solid">
        <fgColor rgb="FFC5E0B4"/>
        <bgColor rgb="FFD9D9D9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4" tint="-0.249977111117893"/>
        <bgColor rgb="FFDAE3F3"/>
      </patternFill>
    </fill>
    <fill>
      <patternFill patternType="solid">
        <fgColor theme="1" tint="0.349986266670736"/>
        <bgColor rgb="FFDEE6EF"/>
      </patternFill>
    </fill>
    <fill>
      <patternFill patternType="solid">
        <fgColor rgb="FFFFDE59"/>
        <bgColor rgb="FFD4EA6B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/>
      <right/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/>
      <bottom style="thin">
        <color rgb="FF01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187" fontId="0" fillId="0" borderId="0" applyBorder="0" applyProtection="0"/>
    <xf numFmtId="187" fontId="0" fillId="0" borderId="0" applyBorder="0" applyProtection="0"/>
    <xf numFmtId="185" fontId="61" fillId="0" borderId="0" applyBorder="0" applyProtection="0"/>
    <xf numFmtId="185" fontId="0" fillId="0" borderId="0" applyBorder="0" applyProtection="0"/>
    <xf numFmtId="0" fontId="46" fillId="52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9" fontId="0" fillId="0" borderId="0" applyBorder="0" applyProtection="0"/>
    <xf numFmtId="0" fontId="5" fillId="0" borderId="0" applyNumberFormat="0" applyFill="0" applyBorder="0" applyAlignment="0" applyProtection="0"/>
    <xf numFmtId="0" fontId="42" fillId="46" borderId="0" applyNumberFormat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80" fontId="11" fillId="0" borderId="0" applyBorder="0" applyProtection="0"/>
    <xf numFmtId="9" fontId="0" fillId="0" borderId="0" applyBorder="0" applyProtection="0"/>
    <xf numFmtId="0" fontId="52" fillId="0" borderId="0" applyNumberFormat="0" applyFill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28" fillId="0" borderId="0"/>
    <xf numFmtId="0" fontId="50" fillId="30" borderId="25" applyNumberFormat="0" applyAlignment="0" applyProtection="0">
      <alignment vertical="center"/>
    </xf>
    <xf numFmtId="0" fontId="55" fillId="33" borderId="22" applyNumberFormat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33" borderId="27" applyNumberFormat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5" fillId="23" borderId="22" applyNumberFormat="0" applyAlignment="0" applyProtection="0">
      <alignment vertical="center"/>
    </xf>
    <xf numFmtId="0" fontId="44" fillId="25" borderId="23" applyNumberFormat="0" applyFont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</cellStyleXfs>
  <cellXfs count="270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2" fontId="0" fillId="0" borderId="2" xfId="0" applyNumberFormat="1" applyBorder="1"/>
    <xf numFmtId="0" fontId="0" fillId="0" borderId="2" xfId="0" applyBorder="1" applyAlignment="1">
      <alignment vertical="center"/>
    </xf>
    <xf numFmtId="0" fontId="0" fillId="2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/>
    <xf numFmtId="0" fontId="2" fillId="0" borderId="4" xfId="0" applyFont="1" applyBorder="1" applyAlignment="1">
      <alignment wrapText="1"/>
    </xf>
    <xf numFmtId="0" fontId="1" fillId="0" borderId="5" xfId="0" applyFont="1" applyBorder="1"/>
    <xf numFmtId="0" fontId="2" fillId="0" borderId="5" xfId="0" applyFont="1" applyBorder="1"/>
    <xf numFmtId="183" fontId="2" fillId="0" borderId="5" xfId="0" applyNumberFormat="1" applyFont="1" applyBorder="1"/>
    <xf numFmtId="0" fontId="1" fillId="3" borderId="6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5" xfId="0" applyFont="1" applyFill="1" applyBorder="1"/>
    <xf numFmtId="0" fontId="2" fillId="0" borderId="0" xfId="0" applyFont="1"/>
    <xf numFmtId="0" fontId="2" fillId="0" borderId="8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/>
    <xf numFmtId="185" fontId="2" fillId="0" borderId="5" xfId="4" applyFont="1" applyBorder="1" applyProtection="1"/>
    <xf numFmtId="183" fontId="1" fillId="3" borderId="5" xfId="0" applyNumberFormat="1" applyFont="1" applyFill="1" applyBorder="1"/>
    <xf numFmtId="185" fontId="1" fillId="3" borderId="5" xfId="4" applyFont="1" applyFill="1" applyBorder="1" applyProtection="1"/>
    <xf numFmtId="185" fontId="0" fillId="0" borderId="0" xfId="0" applyNumberFormat="1"/>
    <xf numFmtId="0" fontId="3" fillId="0" borderId="0" xfId="0" applyFont="1"/>
    <xf numFmtId="185" fontId="3" fillId="0" borderId="0" xfId="4" applyFont="1" applyBorder="1" applyProtection="1"/>
    <xf numFmtId="185" fontId="0" fillId="0" borderId="0" xfId="4" applyBorder="1" applyProtection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0" fillId="0" borderId="9" xfId="0" applyFont="1" applyBorder="1"/>
    <xf numFmtId="10" fontId="0" fillId="0" borderId="2" xfId="31" applyNumberFormat="1" applyBorder="1" applyProtection="1"/>
    <xf numFmtId="185" fontId="0" fillId="0" borderId="2" xfId="4" applyBorder="1" applyProtection="1"/>
    <xf numFmtId="10" fontId="0" fillId="0" borderId="2" xfId="0" applyNumberFormat="1" applyBorder="1"/>
    <xf numFmtId="185" fontId="3" fillId="0" borderId="2" xfId="0" applyNumberFormat="1" applyFont="1" applyBorder="1"/>
    <xf numFmtId="0" fontId="0" fillId="0" borderId="0" xfId="0" applyFont="1" applyAlignment="1">
      <alignment horizontal="center" wrapText="1"/>
    </xf>
    <xf numFmtId="189" fontId="0" fillId="0" borderId="2" xfId="4" applyNumberFormat="1" applyBorder="1" applyProtection="1"/>
    <xf numFmtId="185" fontId="4" fillId="0" borderId="0" xfId="4" applyFont="1" applyBorder="1" applyProtection="1"/>
    <xf numFmtId="0" fontId="3" fillId="4" borderId="2" xfId="0" applyFont="1" applyFill="1" applyBorder="1" applyAlignment="1">
      <alignment horizontal="center" wrapText="1"/>
    </xf>
    <xf numFmtId="0" fontId="5" fillId="4" borderId="2" xfId="11" applyFill="1" applyBorder="1" applyAlignment="1">
      <alignment horizontal="center" wrapText="1"/>
    </xf>
    <xf numFmtId="185" fontId="3" fillId="0" borderId="2" xfId="4" applyFont="1" applyBorder="1" applyAlignment="1" applyProtection="1">
      <alignment horizontal="center"/>
    </xf>
    <xf numFmtId="185" fontId="3" fillId="0" borderId="2" xfId="4" applyFont="1" applyBorder="1" applyProtection="1"/>
    <xf numFmtId="189" fontId="0" fillId="0" borderId="0" xfId="4" applyNumberFormat="1" applyBorder="1" applyProtection="1"/>
    <xf numFmtId="0" fontId="6" fillId="0" borderId="3" xfId="0" applyFont="1" applyBorder="1" applyAlignment="1">
      <alignment horizontal="center"/>
    </xf>
    <xf numFmtId="2" fontId="7" fillId="0" borderId="2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right" wrapText="1"/>
    </xf>
    <xf numFmtId="2" fontId="7" fillId="0" borderId="10" xfId="0" applyNumberFormat="1" applyFont="1" applyBorder="1" applyAlignment="1">
      <alignment horizontal="right" wrapText="1"/>
    </xf>
    <xf numFmtId="0" fontId="8" fillId="5" borderId="2" xfId="0" applyFont="1" applyFill="1" applyBorder="1" applyAlignment="1">
      <alignment vertical="center" wrapText="1"/>
    </xf>
    <xf numFmtId="2" fontId="9" fillId="0" borderId="2" xfId="0" applyNumberFormat="1" applyFont="1" applyBorder="1" applyAlignment="1">
      <alignment horizontal="left"/>
    </xf>
    <xf numFmtId="2" fontId="10" fillId="0" borderId="2" xfId="0" applyNumberFormat="1" applyFont="1" applyBorder="1" applyAlignment="1">
      <alignment horizontal="right"/>
    </xf>
    <xf numFmtId="182" fontId="11" fillId="0" borderId="11" xfId="30" applyNumberFormat="1" applyBorder="1" applyAlignment="1" applyProtection="1">
      <alignment horizontal="right"/>
    </xf>
    <xf numFmtId="2" fontId="12" fillId="6" borderId="2" xfId="0" applyNumberFormat="1" applyFont="1" applyFill="1" applyBorder="1" applyAlignment="1">
      <alignment horizontal="left" vertical="center"/>
    </xf>
    <xf numFmtId="2" fontId="9" fillId="0" borderId="2" xfId="0" applyNumberFormat="1" applyFont="1" applyBorder="1"/>
    <xf numFmtId="2" fontId="12" fillId="7" borderId="2" xfId="0" applyNumberFormat="1" applyFont="1" applyFill="1" applyBorder="1" applyAlignment="1">
      <alignment horizontal="left" vertical="center"/>
    </xf>
    <xf numFmtId="0" fontId="12" fillId="7" borderId="2" xfId="0" applyFont="1" applyFill="1" applyBorder="1" applyAlignment="1">
      <alignment vertical="center" wrapText="1"/>
    </xf>
    <xf numFmtId="2" fontId="13" fillId="0" borderId="2" xfId="0" applyNumberFormat="1" applyFont="1" applyBorder="1"/>
    <xf numFmtId="182" fontId="11" fillId="0" borderId="0" xfId="30" applyNumberFormat="1" applyBorder="1" applyAlignment="1" applyProtection="1">
      <alignment horizontal="right"/>
    </xf>
    <xf numFmtId="2" fontId="12" fillId="8" borderId="2" xfId="0" applyNumberFormat="1" applyFont="1" applyFill="1" applyBorder="1" applyAlignment="1">
      <alignment vertical="center"/>
    </xf>
    <xf numFmtId="2" fontId="13" fillId="9" borderId="2" xfId="0" applyNumberFormat="1" applyFont="1" applyFill="1" applyBorder="1"/>
    <xf numFmtId="2" fontId="12" fillId="10" borderId="2" xfId="0" applyNumberFormat="1" applyFont="1" applyFill="1" applyBorder="1" applyAlignment="1">
      <alignment vertical="center"/>
    </xf>
    <xf numFmtId="0" fontId="12" fillId="10" borderId="2" xfId="0" applyFont="1" applyFill="1" applyBorder="1" applyAlignment="1">
      <alignment vertical="center" wrapText="1"/>
    </xf>
    <xf numFmtId="2" fontId="12" fillId="11" borderId="2" xfId="0" applyNumberFormat="1" applyFont="1" applyFill="1" applyBorder="1" applyAlignment="1">
      <alignment vertical="center"/>
    </xf>
    <xf numFmtId="2" fontId="14" fillId="10" borderId="2" xfId="0" applyNumberFormat="1" applyFont="1" applyFill="1" applyBorder="1" applyAlignment="1">
      <alignment vertical="center"/>
    </xf>
    <xf numFmtId="2" fontId="15" fillId="0" borderId="2" xfId="0" applyNumberFormat="1" applyFont="1" applyBorder="1"/>
    <xf numFmtId="182" fontId="11" fillId="0" borderId="11" xfId="30" applyNumberFormat="1" applyBorder="1" applyProtection="1"/>
    <xf numFmtId="0" fontId="12" fillId="11" borderId="2" xfId="0" applyFont="1" applyFill="1" applyBorder="1" applyAlignment="1">
      <alignment vertical="center" wrapText="1"/>
    </xf>
    <xf numFmtId="2" fontId="16" fillId="6" borderId="2" xfId="0" applyNumberFormat="1" applyFont="1" applyFill="1" applyBorder="1" applyAlignment="1">
      <alignment vertical="center"/>
    </xf>
    <xf numFmtId="2" fontId="12" fillId="6" borderId="2" xfId="0" applyNumberFormat="1" applyFont="1" applyFill="1" applyBorder="1" applyAlignment="1">
      <alignment vertical="center"/>
    </xf>
    <xf numFmtId="0" fontId="13" fillId="0" borderId="2" xfId="0" applyFont="1" applyBorder="1"/>
    <xf numFmtId="0" fontId="12" fillId="10" borderId="2" xfId="0" applyFont="1" applyFill="1" applyBorder="1" applyAlignment="1">
      <alignment vertical="center"/>
    </xf>
    <xf numFmtId="0" fontId="14" fillId="1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180" fontId="11" fillId="0" borderId="11" xfId="30" applyBorder="1" applyAlignment="1" applyProtection="1">
      <alignment horizontal="right"/>
    </xf>
    <xf numFmtId="0" fontId="18" fillId="0" borderId="2" xfId="0" applyFont="1" applyBorder="1" applyAlignment="1">
      <alignment wrapText="1"/>
    </xf>
    <xf numFmtId="2" fontId="10" fillId="0" borderId="11" xfId="0" applyNumberFormat="1" applyFont="1" applyBorder="1" applyAlignment="1">
      <alignment horizontal="right"/>
    </xf>
    <xf numFmtId="2" fontId="12" fillId="0" borderId="2" xfId="0" applyNumberFormat="1" applyFont="1" applyBorder="1" applyAlignment="1">
      <alignment vertical="center"/>
    </xf>
    <xf numFmtId="2" fontId="14" fillId="0" borderId="2" xfId="0" applyNumberFormat="1" applyFont="1" applyBorder="1" applyAlignment="1">
      <alignment vertic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vertical="center"/>
    </xf>
    <xf numFmtId="180" fontId="11" fillId="0" borderId="0" xfId="30" applyBorder="1" applyAlignment="1" applyProtection="1">
      <alignment horizontal="right"/>
    </xf>
    <xf numFmtId="180" fontId="11" fillId="0" borderId="0" xfId="30" applyBorder="1" applyProtection="1"/>
    <xf numFmtId="182" fontId="8" fillId="5" borderId="2" xfId="30" applyNumberFormat="1" applyFont="1" applyFill="1" applyBorder="1" applyAlignment="1" applyProtection="1">
      <alignment horizontal="center" vertical="center" wrapText="1"/>
    </xf>
    <xf numFmtId="182" fontId="12" fillId="6" borderId="2" xfId="30" applyNumberFormat="1" applyFont="1" applyFill="1" applyBorder="1" applyAlignment="1" applyProtection="1">
      <alignment horizontal="left" vertical="center"/>
    </xf>
    <xf numFmtId="182" fontId="12" fillId="6" borderId="2" xfId="30" applyNumberFormat="1" applyFont="1" applyFill="1" applyBorder="1" applyAlignment="1" applyProtection="1">
      <alignment vertical="center"/>
    </xf>
    <xf numFmtId="182" fontId="12" fillId="0" borderId="2" xfId="30" applyNumberFormat="1" applyFont="1" applyBorder="1" applyAlignment="1" applyProtection="1">
      <alignment vertical="center"/>
    </xf>
    <xf numFmtId="182" fontId="12" fillId="10" borderId="2" xfId="30" applyNumberFormat="1" applyFont="1" applyFill="1" applyBorder="1" applyAlignment="1" applyProtection="1">
      <alignment horizontal="left" vertical="center"/>
    </xf>
    <xf numFmtId="182" fontId="12" fillId="10" borderId="2" xfId="30" applyNumberFormat="1" applyFont="1" applyFill="1" applyBorder="1" applyAlignment="1" applyProtection="1">
      <alignment horizontal="left" vertical="center" wrapText="1"/>
    </xf>
    <xf numFmtId="182" fontId="14" fillId="10" borderId="2" xfId="30" applyNumberFormat="1" applyFont="1" applyFill="1" applyBorder="1" applyAlignment="1" applyProtection="1">
      <alignment horizontal="left" vertical="center"/>
    </xf>
    <xf numFmtId="182" fontId="14" fillId="0" borderId="2" xfId="30" applyNumberFormat="1" applyFont="1" applyBorder="1" applyAlignment="1" applyProtection="1">
      <alignment vertical="center"/>
    </xf>
    <xf numFmtId="182" fontId="12" fillId="10" borderId="2" xfId="30" applyNumberFormat="1" applyFont="1" applyFill="1" applyBorder="1" applyAlignment="1" applyProtection="1">
      <alignment vertical="center"/>
    </xf>
    <xf numFmtId="182" fontId="14" fillId="10" borderId="2" xfId="30" applyNumberFormat="1" applyFont="1" applyFill="1" applyBorder="1" applyAlignment="1" applyProtection="1">
      <alignment vertical="center" wrapText="1"/>
    </xf>
    <xf numFmtId="182" fontId="12" fillId="10" borderId="2" xfId="30" applyNumberFormat="1" applyFont="1" applyFill="1" applyBorder="1" applyAlignment="1" applyProtection="1">
      <alignment vertical="center" wrapText="1"/>
    </xf>
    <xf numFmtId="182" fontId="12" fillId="0" borderId="2" xfId="30" applyNumberFormat="1" applyFont="1" applyBorder="1" applyAlignment="1" applyProtection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0" borderId="0" xfId="0" applyFont="1"/>
    <xf numFmtId="2" fontId="19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2" fontId="20" fillId="0" borderId="0" xfId="0" applyNumberFormat="1" applyFont="1" applyBorder="1" applyAlignment="1">
      <alignment horizontal="left"/>
    </xf>
    <xf numFmtId="2" fontId="21" fillId="0" borderId="3" xfId="0" applyNumberFormat="1" applyFont="1" applyBorder="1" applyAlignment="1">
      <alignment horizontal="left" wrapText="1"/>
    </xf>
    <xf numFmtId="2" fontId="10" fillId="0" borderId="3" xfId="0" applyNumberFormat="1" applyFont="1" applyBorder="1" applyAlignment="1">
      <alignment horizontal="right" wrapText="1"/>
    </xf>
    <xf numFmtId="0" fontId="15" fillId="2" borderId="12" xfId="0" applyFont="1" applyFill="1" applyBorder="1"/>
    <xf numFmtId="0" fontId="13" fillId="0" borderId="13" xfId="0" applyFont="1" applyBorder="1" applyAlignment="1">
      <alignment wrapText="1"/>
    </xf>
    <xf numFmtId="2" fontId="21" fillId="0" borderId="14" xfId="0" applyNumberFormat="1" applyFont="1" applyBorder="1" applyAlignment="1">
      <alignment horizontal="left" wrapText="1"/>
    </xf>
    <xf numFmtId="2" fontId="10" fillId="0" borderId="14" xfId="0" applyNumberFormat="1" applyFont="1" applyBorder="1" applyAlignment="1">
      <alignment horizontal="right" wrapText="1"/>
    </xf>
    <xf numFmtId="2" fontId="10" fillId="0" borderId="14" xfId="0" applyNumberFormat="1" applyFont="1" applyBorder="1" applyAlignment="1">
      <alignment horizontal="left"/>
    </xf>
    <xf numFmtId="2" fontId="13" fillId="0" borderId="14" xfId="0" applyNumberFormat="1" applyFont="1" applyBorder="1"/>
    <xf numFmtId="188" fontId="13" fillId="0" borderId="14" xfId="0" applyNumberFormat="1" applyFont="1" applyBorder="1"/>
    <xf numFmtId="2" fontId="15" fillId="0" borderId="14" xfId="0" applyNumberFormat="1" applyFont="1" applyBorder="1" applyAlignment="1">
      <alignment horizontal="left"/>
    </xf>
    <xf numFmtId="2" fontId="10" fillId="3" borderId="14" xfId="0" applyNumberFormat="1" applyFont="1" applyFill="1" applyBorder="1" applyAlignment="1">
      <alignment horizontal="left"/>
    </xf>
    <xf numFmtId="2" fontId="13" fillId="3" borderId="14" xfId="0" applyNumberFormat="1" applyFont="1" applyFill="1" applyBorder="1"/>
    <xf numFmtId="188" fontId="13" fillId="3" borderId="14" xfId="0" applyNumberFormat="1" applyFont="1" applyFill="1" applyBorder="1"/>
    <xf numFmtId="2" fontId="15" fillId="0" borderId="13" xfId="0" applyNumberFormat="1" applyFont="1" applyBorder="1" applyAlignment="1">
      <alignment horizontal="left"/>
    </xf>
    <xf numFmtId="2" fontId="13" fillId="0" borderId="13" xfId="0" applyNumberFormat="1" applyFont="1" applyBorder="1"/>
    <xf numFmtId="0" fontId="15" fillId="2" borderId="3" xfId="0" applyFont="1" applyFill="1" applyBorder="1"/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15" fillId="0" borderId="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78" fontId="13" fillId="0" borderId="2" xfId="0" applyNumberFormat="1" applyFont="1" applyBorder="1"/>
    <xf numFmtId="183" fontId="15" fillId="3" borderId="2" xfId="0" applyNumberFormat="1" applyFont="1" applyFill="1" applyBorder="1"/>
    <xf numFmtId="0" fontId="13" fillId="3" borderId="2" xfId="0" applyFont="1" applyFill="1" applyBorder="1"/>
    <xf numFmtId="178" fontId="13" fillId="3" borderId="2" xfId="0" applyNumberFormat="1" applyFont="1" applyFill="1" applyBorder="1"/>
    <xf numFmtId="178" fontId="15" fillId="3" borderId="2" xfId="0" applyNumberFormat="1" applyFont="1" applyFill="1" applyBorder="1"/>
    <xf numFmtId="0" fontId="13" fillId="0" borderId="13" xfId="0" applyFont="1" applyBorder="1"/>
    <xf numFmtId="0" fontId="15" fillId="0" borderId="3" xfId="0" applyFont="1" applyBorder="1"/>
    <xf numFmtId="183" fontId="13" fillId="0" borderId="3" xfId="0" applyNumberFormat="1" applyFont="1" applyBorder="1"/>
    <xf numFmtId="0" fontId="13" fillId="0" borderId="11" xfId="0" applyFont="1" applyBorder="1"/>
    <xf numFmtId="178" fontId="15" fillId="0" borderId="2" xfId="0" applyNumberFormat="1" applyFont="1" applyBorder="1"/>
    <xf numFmtId="0" fontId="15" fillId="3" borderId="2" xfId="0" applyFont="1" applyFill="1" applyBorder="1"/>
    <xf numFmtId="2" fontId="13" fillId="12" borderId="0" xfId="0" applyNumberFormat="1" applyFont="1" applyFill="1"/>
    <xf numFmtId="2" fontId="13" fillId="12" borderId="0" xfId="0" applyNumberFormat="1" applyFont="1" applyFill="1" applyAlignment="1">
      <alignment wrapText="1"/>
    </xf>
    <xf numFmtId="2" fontId="13" fillId="0" borderId="16" xfId="0" applyNumberFormat="1" applyFont="1" applyBorder="1"/>
    <xf numFmtId="0" fontId="15" fillId="13" borderId="2" xfId="0" applyFont="1" applyFill="1" applyBorder="1" applyAlignment="1">
      <alignment wrapText="1"/>
    </xf>
    <xf numFmtId="58" fontId="13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81" fontId="13" fillId="0" borderId="2" xfId="0" applyNumberFormat="1" applyFont="1" applyBorder="1" applyAlignment="1">
      <alignment horizontal="center"/>
    </xf>
    <xf numFmtId="0" fontId="13" fillId="0" borderId="16" xfId="0" applyFont="1" applyBorder="1"/>
    <xf numFmtId="1" fontId="15" fillId="0" borderId="2" xfId="0" applyNumberFormat="1" applyFont="1" applyBorder="1" applyAlignment="1">
      <alignment horizontal="center"/>
    </xf>
    <xf numFmtId="2" fontId="13" fillId="0" borderId="17" xfId="0" applyNumberFormat="1" applyFont="1" applyBorder="1"/>
    <xf numFmtId="186" fontId="15" fillId="0" borderId="2" xfId="0" applyNumberFormat="1" applyFont="1" applyBorder="1" applyAlignment="1">
      <alignment horizontal="left"/>
    </xf>
    <xf numFmtId="0" fontId="13" fillId="0" borderId="17" xfId="0" applyFont="1" applyBorder="1"/>
    <xf numFmtId="179" fontId="13" fillId="0" borderId="2" xfId="0" applyNumberFormat="1" applyFont="1" applyBorder="1"/>
    <xf numFmtId="186" fontId="13" fillId="0" borderId="2" xfId="0" applyNumberFormat="1" applyFont="1" applyBorder="1"/>
    <xf numFmtId="0" fontId="15" fillId="14" borderId="2" xfId="0" applyFont="1" applyFill="1" applyBorder="1" applyAlignment="1">
      <alignment horizontal="center" vertical="center"/>
    </xf>
    <xf numFmtId="0" fontId="15" fillId="13" borderId="2" xfId="0" applyFont="1" applyFill="1" applyBorder="1"/>
    <xf numFmtId="4" fontId="15" fillId="13" borderId="2" xfId="0" applyNumberFormat="1" applyFont="1" applyFill="1" applyBorder="1"/>
    <xf numFmtId="0" fontId="13" fillId="0" borderId="0" xfId="0" applyFont="1" applyAlignment="1">
      <alignment wrapText="1"/>
    </xf>
    <xf numFmtId="0" fontId="3" fillId="0" borderId="0" xfId="0" applyFont="1" applyAlignment="1">
      <alignment horizontal="center"/>
    </xf>
    <xf numFmtId="177" fontId="0" fillId="0" borderId="0" xfId="0" applyNumberFormat="1"/>
    <xf numFmtId="190" fontId="1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185" fontId="0" fillId="0" borderId="0" xfId="4" applyBorder="1" applyAlignment="1" applyProtection="1">
      <alignment horizontal="center" vertical="center"/>
    </xf>
    <xf numFmtId="0" fontId="0" fillId="7" borderId="0" xfId="0" applyFont="1" applyFill="1"/>
    <xf numFmtId="0" fontId="13" fillId="13" borderId="2" xfId="0" applyFont="1" applyFill="1" applyBorder="1" applyAlignment="1">
      <alignment wrapText="1"/>
    </xf>
    <xf numFmtId="0" fontId="0" fillId="15" borderId="14" xfId="0" applyFont="1" applyFill="1" applyBorder="1"/>
    <xf numFmtId="3" fontId="13" fillId="0" borderId="2" xfId="0" applyNumberFormat="1" applyFont="1" applyBorder="1" applyAlignment="1">
      <alignment horizontal="center"/>
    </xf>
    <xf numFmtId="4" fontId="13" fillId="10" borderId="2" xfId="0" applyNumberFormat="1" applyFont="1" applyFill="1" applyBorder="1" applyAlignment="1">
      <alignment horizontal="center" wrapText="1"/>
    </xf>
    <xf numFmtId="0" fontId="22" fillId="0" borderId="0" xfId="0" applyFont="1"/>
    <xf numFmtId="0" fontId="0" fillId="0" borderId="14" xfId="0" applyFont="1" applyBorder="1"/>
    <xf numFmtId="4" fontId="13" fillId="10" borderId="2" xfId="0" applyNumberFormat="1" applyFont="1" applyFill="1" applyBorder="1" applyAlignment="1">
      <alignment wrapText="1"/>
    </xf>
    <xf numFmtId="0" fontId="0" fillId="8" borderId="0" xfId="0" applyFont="1" applyFill="1"/>
    <xf numFmtId="0" fontId="0" fillId="15" borderId="14" xfId="0" applyFont="1" applyFill="1" applyBorder="1" applyAlignment="1">
      <alignment horizontal="center"/>
    </xf>
    <xf numFmtId="0" fontId="0" fillId="0" borderId="14" xfId="0" applyFont="1" applyBorder="1" applyAlignment="1"/>
    <xf numFmtId="0" fontId="0" fillId="0" borderId="0" xfId="0" applyAlignment="1"/>
    <xf numFmtId="0" fontId="0" fillId="0" borderId="18" xfId="0" applyBorder="1"/>
    <xf numFmtId="0" fontId="0" fillId="8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3" fillId="2" borderId="14" xfId="0" applyFont="1" applyFill="1" applyBorder="1"/>
    <xf numFmtId="0" fontId="24" fillId="0" borderId="14" xfId="0" applyFont="1" applyBorder="1" applyAlignment="1">
      <alignment wrapText="1"/>
    </xf>
    <xf numFmtId="2" fontId="25" fillId="0" borderId="14" xfId="0" applyNumberFormat="1" applyFont="1" applyBorder="1" applyAlignment="1">
      <alignment horizontal="left" wrapText="1"/>
    </xf>
    <xf numFmtId="2" fontId="25" fillId="0" borderId="14" xfId="0" applyNumberFormat="1" applyFont="1" applyBorder="1" applyAlignment="1">
      <alignment horizontal="right" wrapText="1"/>
    </xf>
    <xf numFmtId="2" fontId="25" fillId="0" borderId="14" xfId="0" applyNumberFormat="1" applyFont="1" applyBorder="1" applyAlignment="1">
      <alignment horizontal="left"/>
    </xf>
    <xf numFmtId="2" fontId="24" fillId="0" borderId="14" xfId="0" applyNumberFormat="1" applyFont="1" applyBorder="1"/>
    <xf numFmtId="188" fontId="24" fillId="0" borderId="14" xfId="0" applyNumberFormat="1" applyFont="1" applyBorder="1"/>
    <xf numFmtId="2" fontId="23" fillId="0" borderId="14" xfId="0" applyNumberFormat="1" applyFont="1" applyBorder="1" applyAlignment="1">
      <alignment horizontal="left"/>
    </xf>
    <xf numFmtId="2" fontId="24" fillId="0" borderId="2" xfId="0" applyNumberFormat="1" applyFont="1" applyBorder="1"/>
    <xf numFmtId="2" fontId="25" fillId="3" borderId="14" xfId="0" applyNumberFormat="1" applyFont="1" applyFill="1" applyBorder="1" applyAlignment="1">
      <alignment horizontal="left"/>
    </xf>
    <xf numFmtId="2" fontId="24" fillId="3" borderId="14" xfId="0" applyNumberFormat="1" applyFont="1" applyFill="1" applyBorder="1"/>
    <xf numFmtId="178" fontId="24" fillId="3" borderId="14" xfId="0" applyNumberFormat="1" applyFont="1" applyFill="1" applyBorder="1"/>
    <xf numFmtId="2" fontId="23" fillId="0" borderId="13" xfId="0" applyNumberFormat="1" applyFont="1" applyBorder="1" applyAlignment="1">
      <alignment horizontal="left"/>
    </xf>
    <xf numFmtId="2" fontId="24" fillId="0" borderId="13" xfId="0" applyNumberFormat="1" applyFont="1" applyBorder="1"/>
    <xf numFmtId="0" fontId="23" fillId="2" borderId="3" xfId="0" applyFont="1" applyFill="1" applyBorder="1"/>
    <xf numFmtId="0" fontId="24" fillId="0" borderId="3" xfId="0" applyFont="1" applyBorder="1" applyAlignment="1">
      <alignment wrapText="1"/>
    </xf>
    <xf numFmtId="0" fontId="24" fillId="0" borderId="3" xfId="0" applyFont="1" applyBorder="1"/>
    <xf numFmtId="0" fontId="24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178" fontId="24" fillId="0" borderId="2" xfId="0" applyNumberFormat="1" applyFont="1" applyBorder="1"/>
    <xf numFmtId="183" fontId="23" fillId="3" borderId="2" xfId="0" applyNumberFormat="1" applyFont="1" applyFill="1" applyBorder="1"/>
    <xf numFmtId="0" fontId="24" fillId="3" borderId="2" xfId="0" applyFont="1" applyFill="1" applyBorder="1"/>
    <xf numFmtId="178" fontId="24" fillId="3" borderId="2" xfId="0" applyNumberFormat="1" applyFont="1" applyFill="1" applyBorder="1"/>
    <xf numFmtId="178" fontId="23" fillId="3" borderId="2" xfId="0" applyNumberFormat="1" applyFont="1" applyFill="1" applyBorder="1"/>
    <xf numFmtId="2" fontId="21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58" fontId="2" fillId="0" borderId="2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10" borderId="19" xfId="0" applyFill="1" applyBorder="1"/>
    <xf numFmtId="58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 wrapText="1"/>
    </xf>
    <xf numFmtId="186" fontId="15" fillId="0" borderId="2" xfId="0" applyNumberFormat="1" applyFont="1" applyBorder="1" applyAlignment="1">
      <alignment horizontal="center" vertical="center"/>
    </xf>
    <xf numFmtId="179" fontId="15" fillId="0" borderId="2" xfId="0" applyNumberFormat="1" applyFont="1" applyBorder="1" applyAlignment="1">
      <alignment horizontal="center" vertical="center"/>
    </xf>
    <xf numFmtId="179" fontId="13" fillId="0" borderId="2" xfId="0" applyNumberFormat="1" applyFont="1" applyBorder="1" applyAlignment="1">
      <alignment horizontal="center" vertical="center"/>
    </xf>
    <xf numFmtId="186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4" fontId="15" fillId="1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90" fontId="13" fillId="0" borderId="0" xfId="0" applyNumberFormat="1" applyFont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27" fillId="15" borderId="2" xfId="0" applyFont="1" applyFill="1" applyBorder="1"/>
    <xf numFmtId="3" fontId="28" fillId="10" borderId="19" xfId="0" applyNumberFormat="1" applyFont="1" applyFill="1" applyBorder="1" applyAlignment="1">
      <alignment horizontal="center"/>
    </xf>
    <xf numFmtId="4" fontId="2" fillId="0" borderId="15" xfId="0" applyNumberFormat="1" applyFont="1" applyBorder="1" applyAlignment="1">
      <alignment horizontal="center" vertical="center" wrapText="1"/>
    </xf>
    <xf numFmtId="0" fontId="27" fillId="0" borderId="2" xfId="0" applyFont="1" applyBorder="1"/>
    <xf numFmtId="4" fontId="13" fillId="0" borderId="2" xfId="0" applyNumberFormat="1" applyFont="1" applyBorder="1" applyAlignment="1">
      <alignment horizontal="center" vertical="center" wrapText="1"/>
    </xf>
    <xf numFmtId="3" fontId="15" fillId="13" borderId="2" xfId="0" applyNumberFormat="1" applyFont="1" applyFill="1" applyBorder="1" applyAlignment="1">
      <alignment horizontal="center" vertical="center"/>
    </xf>
    <xf numFmtId="4" fontId="13" fillId="13" borderId="2" xfId="0" applyNumberFormat="1" applyFont="1" applyFill="1" applyBorder="1" applyAlignment="1">
      <alignment horizontal="center" vertical="center" wrapText="1"/>
    </xf>
    <xf numFmtId="0" fontId="27" fillId="8" borderId="2" xfId="0" applyFont="1" applyFill="1" applyBorder="1"/>
    <xf numFmtId="0" fontId="29" fillId="0" borderId="0" xfId="0" applyFont="1" applyAlignment="1">
      <alignment vertical="center"/>
    </xf>
    <xf numFmtId="0" fontId="30" fillId="16" borderId="2" xfId="0" applyFont="1" applyFill="1" applyBorder="1" applyAlignment="1">
      <alignment vertical="center"/>
    </xf>
    <xf numFmtId="0" fontId="31" fillId="16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184" fontId="32" fillId="0" borderId="2" xfId="0" applyNumberFormat="1" applyFont="1" applyBorder="1" applyAlignment="1">
      <alignment horizontal="center" vertical="center" wrapText="1"/>
    </xf>
    <xf numFmtId="184" fontId="3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184" fontId="30" fillId="0" borderId="2" xfId="0" applyNumberFormat="1" applyFont="1" applyBorder="1" applyAlignment="1">
      <alignment horizontal="center" vertical="center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184" fontId="35" fillId="0" borderId="2" xfId="0" applyNumberFormat="1" applyFont="1" applyBorder="1" applyAlignment="1">
      <alignment horizontal="center" vertical="center" wrapText="1"/>
    </xf>
    <xf numFmtId="0" fontId="29" fillId="17" borderId="2" xfId="0" applyFont="1" applyFill="1" applyBorder="1" applyAlignment="1">
      <alignment vertical="center"/>
    </xf>
    <xf numFmtId="184" fontId="0" fillId="17" borderId="2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6" fillId="18" borderId="0" xfId="0" applyFont="1" applyFill="1" applyAlignment="1">
      <alignment horizontal="center"/>
    </xf>
    <xf numFmtId="0" fontId="37" fillId="19" borderId="2" xfId="0" applyFont="1" applyFill="1" applyBorder="1" applyAlignment="1">
      <alignment wrapText="1"/>
    </xf>
    <xf numFmtId="0" fontId="37" fillId="19" borderId="14" xfId="0" applyFont="1" applyFill="1" applyBorder="1" applyAlignment="1">
      <alignment horizontal="center" wrapText="1"/>
    </xf>
    <xf numFmtId="0" fontId="38" fillId="0" borderId="2" xfId="0" applyFont="1" applyBorder="1"/>
    <xf numFmtId="189" fontId="38" fillId="0" borderId="14" xfId="4" applyNumberFormat="1" applyFont="1" applyBorder="1" applyProtection="1"/>
    <xf numFmtId="188" fontId="38" fillId="0" borderId="14" xfId="0" applyNumberFormat="1" applyFont="1" applyBorder="1"/>
    <xf numFmtId="0" fontId="37" fillId="20" borderId="14" xfId="0" applyFont="1" applyFill="1" applyBorder="1" applyAlignment="1">
      <alignment horizontal="center" wrapText="1"/>
    </xf>
    <xf numFmtId="0" fontId="37" fillId="20" borderId="0" xfId="0" applyFont="1" applyFill="1" applyAlignment="1">
      <alignment horizontal="center" wrapText="1"/>
    </xf>
    <xf numFmtId="188" fontId="38" fillId="21" borderId="14" xfId="0" applyNumberFormat="1" applyFont="1" applyFill="1" applyBorder="1"/>
    <xf numFmtId="188" fontId="38" fillId="0" borderId="0" xfId="0" applyNumberFormat="1" applyFont="1"/>
    <xf numFmtId="0" fontId="38" fillId="0" borderId="0" xfId="0" applyFont="1"/>
    <xf numFmtId="0" fontId="39" fillId="18" borderId="0" xfId="0" applyFont="1" applyFill="1" applyAlignment="1">
      <alignment horizontal="center"/>
    </xf>
    <xf numFmtId="0" fontId="38" fillId="0" borderId="14" xfId="0" applyFont="1" applyBorder="1"/>
    <xf numFmtId="188" fontId="40" fillId="17" borderId="14" xfId="0" applyNumberFormat="1" applyFont="1" applyFill="1" applyBorder="1"/>
    <xf numFmtId="4" fontId="38" fillId="0" borderId="0" xfId="0" applyNumberFormat="1" applyFont="1"/>
    <xf numFmtId="0" fontId="38" fillId="0" borderId="2" xfId="0" applyFont="1" applyBorder="1" applyAlignment="1">
      <alignment horizontal="center"/>
    </xf>
    <xf numFmtId="0" fontId="32" fillId="0" borderId="2" xfId="0" applyFont="1" applyBorder="1"/>
    <xf numFmtId="0" fontId="38" fillId="0" borderId="0" xfId="0" applyFont="1" applyAlignment="1">
      <alignment wrapText="1"/>
    </xf>
    <xf numFmtId="188" fontId="38" fillId="0" borderId="0" xfId="0" applyNumberFormat="1" applyFont="1" applyAlignment="1">
      <alignment wrapText="1"/>
    </xf>
    <xf numFmtId="49" fontId="38" fillId="0" borderId="0" xfId="0" applyNumberFormat="1" applyFont="1" applyAlignment="1">
      <alignment wrapText="1"/>
    </xf>
    <xf numFmtId="176" fontId="38" fillId="0" borderId="0" xfId="0" applyNumberFormat="1" applyFont="1"/>
    <xf numFmtId="0" fontId="41" fillId="0" borderId="0" xfId="0" applyFont="1"/>
  </cellXfs>
  <cellStyles count="55">
    <cellStyle name="Normal" xfId="0" builtinId="0"/>
    <cellStyle name="Millares 6" xfId="1"/>
    <cellStyle name="Millares 5" xfId="2"/>
    <cellStyle name="Millares [0] 2" xfId="3"/>
    <cellStyle name="Excel Built-in Comma [0] 1" xfId="4"/>
    <cellStyle name="60% - Énfasis6" xfId="5" builtinId="52"/>
    <cellStyle name="40% - Énfasis6" xfId="6" builtinId="51"/>
    <cellStyle name="40% - Énfasis5" xfId="7" builtinId="47"/>
    <cellStyle name="20% - Énfasis5" xfId="8" builtinId="46"/>
    <cellStyle name="Énfasis5" xfId="9" builtinId="45"/>
    <cellStyle name="Porcentaje 2" xfId="10"/>
    <cellStyle name="Hipervínculo" xfId="11" builtinId="8"/>
    <cellStyle name="40% - Énfasis4" xfId="12" builtinId="43"/>
    <cellStyle name="Moneda [0]" xfId="13" builtinId="7"/>
    <cellStyle name="20% - Énfasis4" xfId="14" builtinId="42"/>
    <cellStyle name="Énfasis4" xfId="15" builtinId="41"/>
    <cellStyle name="20% - Énfasis3" xfId="16" builtinId="38"/>
    <cellStyle name="Énfasis3" xfId="17" builtinId="37"/>
    <cellStyle name="20% - Énfasis2" xfId="18" builtinId="34"/>
    <cellStyle name="20% - Énfasis1" xfId="19" builtinId="30"/>
    <cellStyle name="60% - Énfasis4" xfId="20" builtinId="44"/>
    <cellStyle name="Énfasis1" xfId="21" builtinId="29"/>
    <cellStyle name="Énfasis6" xfId="22" builtinId="49"/>
    <cellStyle name="40% - Énfasis1" xfId="23" builtinId="31"/>
    <cellStyle name="Incorrecto" xfId="24" builtinId="27"/>
    <cellStyle name="60% - Énfasis5" xfId="25" builtinId="48"/>
    <cellStyle name="Énfasis2" xfId="26" builtinId="33"/>
    <cellStyle name="Correcto" xfId="27" builtinId="26"/>
    <cellStyle name="Total" xfId="28" builtinId="25"/>
    <cellStyle name="Celda vinculada" xfId="29" builtinId="24"/>
    <cellStyle name="Moneda" xfId="30" builtinId="4"/>
    <cellStyle name="Porcentaje" xfId="31" builtinId="5"/>
    <cellStyle name="Texto explicativo" xfId="32" builtinId="53"/>
    <cellStyle name="Título 1" xfId="33" builtinId="16"/>
    <cellStyle name="Normal 2" xfId="34"/>
    <cellStyle name="Celda de comprobación" xfId="35" builtinId="23"/>
    <cellStyle name="Cálculo" xfId="36" builtinId="22"/>
    <cellStyle name="60% - Énfasis3" xfId="37" builtinId="40"/>
    <cellStyle name="Título 4" xfId="38" builtinId="19"/>
    <cellStyle name="60% - Énfasis2" xfId="39" builtinId="36"/>
    <cellStyle name="Título 3" xfId="40" builtinId="18"/>
    <cellStyle name="60% - Énfasis1" xfId="41" builtinId="32"/>
    <cellStyle name="Título 2" xfId="42" builtinId="17"/>
    <cellStyle name="Neutro" xfId="43" builtinId="28"/>
    <cellStyle name="Título" xfId="44" builtinId="15"/>
    <cellStyle name="Salida" xfId="45" builtinId="21"/>
    <cellStyle name="Coma" xfId="46" builtinId="3"/>
    <cellStyle name="40% - Énfasis3" xfId="47" builtinId="39"/>
    <cellStyle name="Entrada" xfId="48" builtinId="20"/>
    <cellStyle name="Nota" xfId="49" builtinId="10"/>
    <cellStyle name="Coma [0]" xfId="50" builtinId="6"/>
    <cellStyle name="Hipervínculo visitado" xfId="51" builtinId="9"/>
    <cellStyle name="40% - Énfasis2" xfId="52" builtinId="35"/>
    <cellStyle name="20% - Énfasis6" xfId="53" builtinId="50"/>
    <cellStyle name="Texto de advertencia" xfId="54" builtinId="1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0D0C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9D9D9"/>
      <rgbColor rgb="00DEE6EF"/>
      <rgbColor rgb="00660066"/>
      <rgbColor rgb="00FF8080"/>
      <rgbColor rgb="000066CC"/>
      <rgbColor rgb="00CCCCCC"/>
      <rgbColor rgb="00000080"/>
      <rgbColor rgb="00FF00FF"/>
      <rgbColor rgb="00FFFF38"/>
      <rgbColor rgb="0000FFFF"/>
      <rgbColor rgb="00800080"/>
      <rgbColor rgb="00800000"/>
      <rgbColor rgb="00008080"/>
      <rgbColor rgb="000000FF"/>
      <rgbColor rgb="0000CCFF"/>
      <rgbColor rgb="00DAE3F3"/>
      <rgbColor rgb="00E2F0D9"/>
      <rgbColor rgb="00E8F2A1"/>
      <rgbColor rgb="00B3B3B3"/>
      <rgbColor rgb="00FF99CC"/>
      <rgbColor rgb="00C5E0B4"/>
      <rgbColor rgb="00FFDE59"/>
      <rgbColor rgb="003366FF"/>
      <rgbColor rgb="0033CCCC"/>
      <rgbColor rgb="0081D41A"/>
      <rgbColor rgb="00D4EA6B"/>
      <rgbColor rgb="00FF9900"/>
      <rgbColor rgb="00FF420E"/>
      <rgbColor rgb="00666699"/>
      <rgbColor rgb="00AFABAB"/>
      <rgbColor rgb="00004586"/>
      <rgbColor rgb="005EB91E"/>
      <rgbColor rgb="00010000"/>
      <rgbColor rgb="00333300"/>
      <rgbColor rgb="00DD4814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'Gastos Operacionales'!$B$11:$B$11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CO" sz="1000" b="0" i="0" u="none" strike="noStrike" kern="1200" spc="-1" baseline="0">
                    <a:solidFill>
                      <a:srgbClr val="000000"/>
                    </a:solidFill>
                    <a:latin typeface="Arial" panose="020B0604020202020204" pitchFamily="2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'Gastos Operacionales'!$A$12:$A$20</c:f>
              <c:strCache>
                <c:ptCount val="9"/>
                <c:pt idx="0">
                  <c:v>Yogur por 1750 gramos</c:v>
                </c:pt>
                <c:pt idx="1">
                  <c:v>Yogur por 180 gramos</c:v>
                </c:pt>
                <c:pt idx="2">
                  <c:v>Queso doble crema por kg</c:v>
                </c:pt>
                <c:pt idx="3">
                  <c:v>Queso pera por kg</c:v>
                </c:pt>
                <c:pt idx="4">
                  <c:v>Queso campesino por kg</c:v>
                </c:pt>
                <c:pt idx="5">
                  <c:v>Arequipe por 500 g</c:v>
                </c:pt>
                <c:pt idx="6">
                  <c:v>Arequipe por 4 onza</c:v>
                </c:pt>
                <c:pt idx="7">
                  <c:v>Ricota por 500 g</c:v>
                </c:pt>
                <c:pt idx="8">
                  <c:v>Ricota por 110 g</c:v>
                </c:pt>
              </c:strCache>
            </c:strRef>
          </c:cat>
          <c:val>
            <c:numRef>
              <c:f>'Gastos Operacionales'!$B$12:$B$20</c:f>
              <c:numCache>
                <c:formatCode>0.00%</c:formatCode>
                <c:ptCount val="9"/>
                <c:pt idx="0">
                  <c:v>0.15</c:v>
                </c:pt>
                <c:pt idx="1">
                  <c:v>0.07</c:v>
                </c:pt>
                <c:pt idx="2">
                  <c:v>0.089747552594074</c:v>
                </c:pt>
                <c:pt idx="3">
                  <c:v>0.14</c:v>
                </c:pt>
                <c:pt idx="4">
                  <c:v>0.12</c:v>
                </c:pt>
                <c:pt idx="5">
                  <c:v>0.16181196205302</c:v>
                </c:pt>
                <c:pt idx="6">
                  <c:v>0.0829804933605233</c:v>
                </c:pt>
                <c:pt idx="7">
                  <c:v>0.06</c:v>
                </c:pt>
                <c:pt idx="8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666524"/>
        <c:axId val="77214002"/>
      </c:barChart>
      <c:catAx>
        <c:axId val="746665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48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CO" sz="1000" b="0" i="0" u="none" strike="noStrike" kern="1200" spc="-1" baseline="0">
                <a:solidFill>
                  <a:srgbClr val="000000"/>
                </a:solidFill>
                <a:latin typeface="Arial" panose="020B0604020202020204" pitchFamily="2"/>
                <a:ea typeface="+mn-ea"/>
                <a:cs typeface="+mn-cs"/>
              </a:defRPr>
            </a:pPr>
          </a:p>
        </c:txPr>
        <c:crossAx val="77214002"/>
        <c:crosses val="autoZero"/>
        <c:auto val="1"/>
        <c:lblAlgn val="ctr"/>
        <c:lblOffset val="100"/>
        <c:noMultiLvlLbl val="0"/>
      </c:catAx>
      <c:valAx>
        <c:axId val="77214002"/>
        <c:scaling>
          <c:orientation val="minMax"/>
        </c:scaling>
        <c:delete val="0"/>
        <c:axPos val="b"/>
        <c:majorGridlines>
          <c:spPr>
            <a:ln w="648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numFmt formatCode="0.00%" sourceLinked="0"/>
        <c:majorTickMark val="out"/>
        <c:minorTickMark val="none"/>
        <c:tickLblPos val="nextTo"/>
        <c:spPr>
          <a:ln w="648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CO" sz="1000" b="0" i="0" u="none" strike="noStrike" kern="1200" spc="-1" baseline="0">
                <a:solidFill>
                  <a:srgbClr val="000000"/>
                </a:solidFill>
                <a:latin typeface="Arial" panose="020B0604020202020204" pitchFamily="2"/>
                <a:ea typeface="+mn-ea"/>
                <a:cs typeface="+mn-cs"/>
              </a:defRPr>
            </a:pPr>
          </a:p>
        </c:txPr>
        <c:crossAx val="74666524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/>
      <c:overlay val="0"/>
      <c:spPr>
        <a:noFill/>
        <a:ln w="0"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s-CO" sz="1000" b="0" i="0" u="none" strike="noStrike" kern="1200" spc="-1" baseline="0">
              <a:solidFill>
                <a:srgbClr val="000000"/>
              </a:solidFill>
              <a:latin typeface="Arial" panose="020B0604020202020204" pitchFamily="2"/>
              <a:ea typeface="+mn-ea"/>
              <a:cs typeface="+mn-cs"/>
            </a:defRPr>
          </a:pPr>
        </a:p>
      </c:txPr>
    </c:legend>
    <c:plotVisOnly val="1"/>
    <c:dispBlanksAs val="gap"/>
    <c:showDLblsOverMax val="1"/>
  </c:chart>
  <c:spPr>
    <a:solidFill>
      <a:srgbClr val="FFFFFF"/>
    </a:solidFill>
    <a:ln w="9360" cap="flat" cmpd="sng" algn="ctr">
      <a:noFill/>
      <a:prstDash val="solid"/>
      <a:round/>
    </a:ln>
  </c:spPr>
  <c:txPr>
    <a:bodyPr/>
    <a:lstStyle/>
    <a:p>
      <a:pPr>
        <a:defRPr lang="es-E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132228</xdr:colOff>
      <xdr:row>10</xdr:row>
      <xdr:rowOff>96679</xdr:rowOff>
    </xdr:from>
    <xdr:to>
      <xdr:col>18</xdr:col>
      <xdr:colOff>539028</xdr:colOff>
      <xdr:row>28</xdr:row>
      <xdr:rowOff>111079</xdr:rowOff>
    </xdr:to>
    <xdr:graphicFrame>
      <xdr:nvGraphicFramePr>
        <xdr:cNvPr id="2" name="Gráfico 1"/>
        <xdr:cNvGraphicFramePr/>
      </xdr:nvGraphicFramePr>
      <xdr:xfrm>
        <a:off x="9561830" y="1620520"/>
        <a:ext cx="5607050" cy="32143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</sheetPr>
  <dimension ref="A1:K24"/>
  <sheetViews>
    <sheetView zoomScale="86" zoomScaleNormal="86" topLeftCell="A2" workbookViewId="0">
      <selection activeCell="B18" sqref="B18"/>
    </sheetView>
  </sheetViews>
  <sheetFormatPr defaultColWidth="9.14285714285714" defaultRowHeight="12"/>
  <cols>
    <col min="1" max="1" width="37" customWidth="1"/>
    <col min="2" max="2" width="26.7142857142857" customWidth="1"/>
    <col min="3" max="3" width="38.7142857142857" customWidth="1"/>
    <col min="4" max="4" width="29" customWidth="1"/>
    <col min="5" max="6" width="26.7142857142857" customWidth="1"/>
    <col min="7" max="7" width="25.8571428571429" customWidth="1"/>
    <col min="8" max="8" width="19.1428571428571" customWidth="1"/>
    <col min="9" max="9" width="26.7142857142857" customWidth="1"/>
    <col min="10" max="10" width="29" customWidth="1"/>
    <col min="11" max="11" width="26.7142857142857" customWidth="1"/>
    <col min="995" max="1013" width="11.5714285714286" customWidth="1"/>
    <col min="1022" max="1024" width="11.5714285714286" customWidth="1"/>
  </cols>
  <sheetData>
    <row r="1" ht="24.75" spans="1:7">
      <c r="A1" s="248" t="s">
        <v>0</v>
      </c>
      <c r="B1" s="248"/>
      <c r="C1" s="248"/>
      <c r="D1" s="248"/>
      <c r="E1" s="248"/>
      <c r="F1" s="248"/>
      <c r="G1" s="248"/>
    </row>
    <row r="2" s="247" customFormat="1" ht="39" customHeight="1" spans="1:7">
      <c r="A2" s="249" t="s">
        <v>1</v>
      </c>
      <c r="B2" s="250" t="s">
        <v>2</v>
      </c>
      <c r="C2" s="250" t="s">
        <v>3</v>
      </c>
      <c r="D2" s="250" t="s">
        <v>4</v>
      </c>
      <c r="E2" s="250" t="s">
        <v>5</v>
      </c>
      <c r="F2" s="250" t="s">
        <v>6</v>
      </c>
      <c r="G2" s="250" t="s">
        <v>7</v>
      </c>
    </row>
    <row r="3" ht="23.25" spans="1:7">
      <c r="A3" s="251" t="s">
        <v>8</v>
      </c>
      <c r="B3" s="252">
        <f>'arequipe x 500 g'!I20</f>
        <v>11.2</v>
      </c>
      <c r="C3" s="253">
        <f>E3+F3</f>
        <v>231380.8152856</v>
      </c>
      <c r="D3" s="253">
        <f>G3</f>
        <v>233210.413884004</v>
      </c>
      <c r="E3" s="253">
        <f>'arequipe x 500 g'!D14</f>
        <v>115151.8152856</v>
      </c>
      <c r="F3" s="253">
        <f>+'arequipe x 500 g'!D20</f>
        <v>116229</v>
      </c>
      <c r="G3" s="253">
        <f>+'Gastos Operacionales'!H17</f>
        <v>233210.413884004</v>
      </c>
    </row>
    <row r="4" ht="23.25" spans="1:7">
      <c r="A4" s="251" t="s">
        <v>9</v>
      </c>
      <c r="B4" s="252">
        <f>'arequipe 4 onz'!I20</f>
        <v>2700</v>
      </c>
      <c r="C4" s="253">
        <f>E4+F4</f>
        <v>6088668.85635</v>
      </c>
      <c r="D4" s="253">
        <f>G4</f>
        <v>119595.084043079</v>
      </c>
      <c r="E4" s="253">
        <f>'arequipe 4 onz'!D14</f>
        <v>4588656.85635</v>
      </c>
      <c r="F4" s="253">
        <f>+'arequipe 4 onz'!D20</f>
        <v>1500012</v>
      </c>
      <c r="G4" s="253">
        <f>+'Gastos Operacionales'!H18</f>
        <v>119595.084043079</v>
      </c>
    </row>
    <row r="5" ht="23.25" spans="1:11">
      <c r="A5" s="254" t="s">
        <v>10</v>
      </c>
      <c r="B5" s="255" t="s">
        <v>11</v>
      </c>
      <c r="C5" s="255" t="s">
        <v>12</v>
      </c>
      <c r="D5" s="255" t="s">
        <v>13</v>
      </c>
      <c r="E5" s="258"/>
      <c r="F5" s="258"/>
      <c r="G5" s="258"/>
      <c r="H5" s="258"/>
      <c r="I5" s="258"/>
      <c r="J5" s="258"/>
      <c r="K5" s="258"/>
    </row>
    <row r="6" ht="23.25" spans="1:11">
      <c r="A6" s="256">
        <f>(C3+D3)/B3</f>
        <v>41481.359747286</v>
      </c>
      <c r="B6" s="257">
        <f>A6*B3</f>
        <v>464591.229169604</v>
      </c>
      <c r="C6" s="257">
        <f>B3*B13</f>
        <v>534279.913545044</v>
      </c>
      <c r="D6" s="257">
        <f>C6-B6</f>
        <v>69688.6843754406</v>
      </c>
      <c r="E6" s="258"/>
      <c r="F6" s="258"/>
      <c r="G6" s="258"/>
      <c r="H6" s="258"/>
      <c r="I6" s="258"/>
      <c r="J6" s="258"/>
      <c r="K6" s="258"/>
    </row>
    <row r="7" ht="23.25" spans="1:11">
      <c r="A7" s="256">
        <f>(C4+D4)/B4</f>
        <v>2299.3570149604</v>
      </c>
      <c r="B7" s="257">
        <f>C4+D4</f>
        <v>6208263.94039308</v>
      </c>
      <c r="C7" s="257">
        <f>B4*B14</f>
        <v>6767007.69502846</v>
      </c>
      <c r="D7" s="257">
        <f>C7-B7</f>
        <v>558743.754635377</v>
      </c>
      <c r="F7" s="258"/>
      <c r="G7" s="258"/>
      <c r="H7" s="258"/>
      <c r="I7" s="258"/>
      <c r="J7" s="258"/>
      <c r="K7" s="258"/>
    </row>
    <row r="8" ht="23.25" spans="6:11">
      <c r="F8" s="258"/>
      <c r="G8" s="258"/>
      <c r="H8" s="258"/>
      <c r="I8" s="258"/>
      <c r="J8" s="258"/>
      <c r="K8" s="258"/>
    </row>
    <row r="9" ht="23.25" spans="6:11">
      <c r="F9" s="258"/>
      <c r="G9" s="258"/>
      <c r="H9" s="258"/>
      <c r="I9" s="258"/>
      <c r="J9" s="258"/>
      <c r="K9" s="258"/>
    </row>
    <row r="10" ht="23.25" spans="1:11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</row>
    <row r="11" ht="27.75" spans="1:11">
      <c r="A11" s="259" t="s">
        <v>14</v>
      </c>
      <c r="B11" s="259"/>
      <c r="C11" s="259"/>
      <c r="D11" s="259"/>
      <c r="E11" s="259"/>
      <c r="F11" s="258"/>
      <c r="G11" s="258"/>
      <c r="H11" s="258"/>
      <c r="I11" s="258"/>
      <c r="J11" s="258"/>
      <c r="K11" s="258"/>
    </row>
    <row r="12" ht="33" spans="1:11">
      <c r="A12" s="249" t="s">
        <v>1</v>
      </c>
      <c r="B12" s="250" t="s">
        <v>15</v>
      </c>
      <c r="C12" s="250" t="s">
        <v>2</v>
      </c>
      <c r="D12" s="250" t="s">
        <v>16</v>
      </c>
      <c r="E12" s="250" t="s">
        <v>17</v>
      </c>
      <c r="F12" s="265"/>
      <c r="G12" s="258"/>
      <c r="H12" s="258"/>
      <c r="I12" s="258"/>
      <c r="J12" s="258"/>
      <c r="K12" s="265"/>
    </row>
    <row r="13" ht="23.25" spans="1:11">
      <c r="A13" s="260" t="s">
        <v>8</v>
      </c>
      <c r="B13" s="253">
        <f>A6+(A6*B23/100)</f>
        <v>47703.5637093789</v>
      </c>
      <c r="C13" s="252">
        <f>B3</f>
        <v>11.2</v>
      </c>
      <c r="D13" s="253">
        <f>C13*B13</f>
        <v>534279.913545044</v>
      </c>
      <c r="E13" s="266">
        <f>D13-B6</f>
        <v>69688.6843754406</v>
      </c>
      <c r="F13" s="267"/>
      <c r="G13" s="258"/>
      <c r="H13" s="258"/>
      <c r="I13" s="258"/>
      <c r="J13" s="258"/>
      <c r="K13" s="267"/>
    </row>
    <row r="14" ht="23.25" spans="1:11">
      <c r="A14" s="260" t="s">
        <v>9</v>
      </c>
      <c r="B14" s="253">
        <f>A7+(A7*B24/100)</f>
        <v>2506.29914630684</v>
      </c>
      <c r="C14" s="252">
        <f>B4</f>
        <v>2700</v>
      </c>
      <c r="D14" s="253">
        <f>C14*B14</f>
        <v>6767007.69502846</v>
      </c>
      <c r="E14" s="266">
        <f>D14-B7</f>
        <v>558743.754635377</v>
      </c>
      <c r="F14" s="267"/>
      <c r="G14" s="258"/>
      <c r="H14" s="258"/>
      <c r="I14" s="258"/>
      <c r="J14" s="258"/>
      <c r="K14" s="267"/>
    </row>
    <row r="15" ht="23.25" spans="1:11">
      <c r="A15" s="260" t="s">
        <v>18</v>
      </c>
      <c r="B15" s="260"/>
      <c r="C15" s="260"/>
      <c r="D15" s="253">
        <f>SUM(D13:D14)</f>
        <v>7301287.6085735</v>
      </c>
      <c r="E15" s="268"/>
      <c r="F15" s="268"/>
      <c r="G15" s="258"/>
      <c r="H15" s="258"/>
      <c r="I15" s="258"/>
      <c r="J15" s="258"/>
      <c r="K15" s="258"/>
    </row>
    <row r="16" ht="23.25" spans="1:11">
      <c r="A16" s="260" t="s">
        <v>19</v>
      </c>
      <c r="B16" s="260"/>
      <c r="C16" s="260"/>
      <c r="D16" s="261">
        <f>D15/12</f>
        <v>608440.634047792</v>
      </c>
      <c r="E16" s="258"/>
      <c r="F16" s="269"/>
      <c r="G16" s="257"/>
      <c r="H16" s="258"/>
      <c r="I16" s="258"/>
      <c r="J16" s="258"/>
      <c r="K16" s="258"/>
    </row>
    <row r="17" ht="23.25" spans="1:11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ht="23.25" spans="1:11">
      <c r="A18" s="258" t="s">
        <v>20</v>
      </c>
      <c r="B18" s="262">
        <f>'arequipe 4 onz'!B5+'arequipe x 500 g'!B5</f>
        <v>1000</v>
      </c>
      <c r="C18" s="258"/>
      <c r="D18" s="258"/>
      <c r="E18" s="258"/>
      <c r="F18" s="258"/>
      <c r="G18" s="258"/>
      <c r="H18" s="258"/>
      <c r="I18" s="258"/>
      <c r="J18" s="258"/>
      <c r="K18" s="258"/>
    </row>
    <row r="19" ht="23.25" spans="1:11">
      <c r="A19" s="258" t="s">
        <v>21</v>
      </c>
      <c r="B19" s="258">
        <f>B18/11</f>
        <v>90.9090909090909</v>
      </c>
      <c r="C19" s="258"/>
      <c r="D19" s="258"/>
      <c r="E19" s="258"/>
      <c r="F19" s="258"/>
      <c r="G19" s="258"/>
      <c r="H19" s="258"/>
      <c r="I19" s="258"/>
      <c r="J19" s="258"/>
      <c r="K19" s="258"/>
    </row>
    <row r="20" ht="23.25" spans="1:11">
      <c r="A20" s="258" t="s">
        <v>22</v>
      </c>
      <c r="B20" s="258">
        <f>B19/24</f>
        <v>3.78787878787879</v>
      </c>
      <c r="C20" s="258"/>
      <c r="D20" s="258"/>
      <c r="E20" s="258"/>
      <c r="F20" s="258"/>
      <c r="G20" s="258"/>
      <c r="H20" s="258"/>
      <c r="I20" s="258"/>
      <c r="J20" s="258"/>
      <c r="K20" s="258"/>
    </row>
    <row r="21" ht="23.25" spans="1:11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</row>
    <row r="22" ht="23.25" spans="1:11">
      <c r="A22" s="251" t="s">
        <v>23</v>
      </c>
      <c r="B22" s="263" t="s">
        <v>24</v>
      </c>
      <c r="C22" s="258"/>
      <c r="D22" s="258"/>
      <c r="E22" s="258"/>
      <c r="F22" s="258"/>
      <c r="G22" s="258"/>
      <c r="H22" s="258"/>
      <c r="I22" s="258"/>
      <c r="J22" s="258"/>
      <c r="K22" s="258"/>
    </row>
    <row r="23" ht="23.25" spans="1:11">
      <c r="A23" s="251" t="s">
        <v>8</v>
      </c>
      <c r="B23" s="263">
        <v>15</v>
      </c>
      <c r="C23" s="258"/>
      <c r="D23" s="258"/>
      <c r="E23" s="258"/>
      <c r="F23" s="258"/>
      <c r="G23" s="258"/>
      <c r="H23" s="258"/>
      <c r="I23" s="258"/>
      <c r="J23" s="258"/>
      <c r="K23" s="258"/>
    </row>
    <row r="24" ht="13.5" spans="1:2">
      <c r="A24" s="264" t="s">
        <v>9</v>
      </c>
      <c r="B24" s="7">
        <v>9</v>
      </c>
    </row>
  </sheetData>
  <mergeCells count="2">
    <mergeCell ref="A1:G1"/>
    <mergeCell ref="A11:E11"/>
  </mergeCells>
  <pageMargins left="0.7875" right="0.7875" top="1.05277777777778" bottom="1.05277777777778" header="0.7875" footer="0.7875"/>
  <pageSetup paperSize="1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10D0C"/>
  </sheetPr>
  <dimension ref="A1:F25"/>
  <sheetViews>
    <sheetView zoomScale="95" zoomScaleNormal="95" workbookViewId="0">
      <selection activeCell="H40" sqref="H40"/>
    </sheetView>
  </sheetViews>
  <sheetFormatPr defaultColWidth="12" defaultRowHeight="12" outlineLevelCol="5"/>
  <cols>
    <col min="1" max="1" width="34.4285714285714" customWidth="1"/>
    <col min="2" max="2" width="19.4285714285714" customWidth="1"/>
    <col min="3" max="3" width="27.8571428571429" customWidth="1"/>
    <col min="4" max="4" width="23.1428571428571" customWidth="1"/>
    <col min="5" max="6" width="13.5714285714286" customWidth="1"/>
  </cols>
  <sheetData>
    <row r="1" ht="13.5" spans="1:6">
      <c r="A1" s="230"/>
      <c r="B1" s="101"/>
      <c r="C1" s="101"/>
      <c r="D1" s="101"/>
      <c r="E1" s="101"/>
      <c r="F1" s="101"/>
    </row>
    <row r="2" ht="13.5" spans="1:6">
      <c r="A2" s="230" t="s">
        <v>25</v>
      </c>
      <c r="B2" s="101"/>
      <c r="C2" s="101"/>
      <c r="D2" s="101"/>
      <c r="E2" s="101"/>
      <c r="F2" s="101"/>
    </row>
    <row r="3" ht="13.5" spans="1:6">
      <c r="A3" s="230"/>
      <c r="B3" s="101"/>
      <c r="C3" s="101"/>
      <c r="D3" s="101"/>
      <c r="E3" s="101"/>
      <c r="F3" s="101"/>
    </row>
    <row r="4" ht="13.5" spans="1:6">
      <c r="A4" s="231" t="s">
        <v>26</v>
      </c>
      <c r="B4" s="232" t="s">
        <v>27</v>
      </c>
      <c r="C4" s="232" t="s">
        <v>28</v>
      </c>
      <c r="D4" s="232" t="s">
        <v>18</v>
      </c>
      <c r="E4" s="101"/>
      <c r="F4" s="101"/>
    </row>
    <row r="5" ht="13.5" spans="1:6">
      <c r="A5" s="233" t="s">
        <v>29</v>
      </c>
      <c r="B5" s="234">
        <v>1</v>
      </c>
      <c r="C5" s="235">
        <v>10000000</v>
      </c>
      <c r="D5" s="236">
        <f>C5*B5</f>
        <v>10000000</v>
      </c>
      <c r="E5" s="101"/>
      <c r="F5" s="101"/>
    </row>
    <row r="6" ht="13.5" spans="1:6">
      <c r="A6" s="233" t="s">
        <v>30</v>
      </c>
      <c r="B6" s="234">
        <v>1</v>
      </c>
      <c r="C6" s="235">
        <f>1800*3548</f>
        <v>6386400</v>
      </c>
      <c r="D6" s="236">
        <f>C6*B6</f>
        <v>6386400</v>
      </c>
      <c r="E6" s="101"/>
      <c r="F6" s="101"/>
    </row>
    <row r="7" ht="13.5" spans="1:6">
      <c r="A7" s="233" t="s">
        <v>31</v>
      </c>
      <c r="B7" s="234">
        <v>2</v>
      </c>
      <c r="C7" s="235">
        <v>30000</v>
      </c>
      <c r="D7" s="236">
        <v>60000</v>
      </c>
      <c r="E7" s="101"/>
      <c r="F7" s="101"/>
    </row>
    <row r="8" ht="13.5" spans="1:6">
      <c r="A8" s="233" t="s">
        <v>32</v>
      </c>
      <c r="B8" s="234" t="s">
        <v>33</v>
      </c>
      <c r="C8" s="235">
        <v>90000</v>
      </c>
      <c r="D8" s="236">
        <v>90000</v>
      </c>
      <c r="E8" s="101"/>
      <c r="F8" s="101"/>
    </row>
    <row r="9" ht="13.5" spans="1:6">
      <c r="A9" s="237" t="s">
        <v>34</v>
      </c>
      <c r="B9" s="234">
        <v>0</v>
      </c>
      <c r="C9" s="235">
        <f>9000000*1.18</f>
        <v>10620000</v>
      </c>
      <c r="D9" s="236">
        <f>C9*B9</f>
        <v>0</v>
      </c>
      <c r="E9" s="101"/>
      <c r="F9" s="101"/>
    </row>
    <row r="10" ht="13.5" spans="1:6">
      <c r="A10" s="237" t="s">
        <v>35</v>
      </c>
      <c r="B10" s="234">
        <v>1</v>
      </c>
      <c r="C10" s="235">
        <v>4000000</v>
      </c>
      <c r="D10" s="236">
        <f>C10*B10</f>
        <v>4000000</v>
      </c>
      <c r="E10" s="101"/>
      <c r="F10" s="101"/>
    </row>
    <row r="11" ht="24" spans="1:6">
      <c r="A11" s="237" t="s">
        <v>36</v>
      </c>
      <c r="B11" s="234">
        <v>1</v>
      </c>
      <c r="C11" s="235">
        <v>6000000</v>
      </c>
      <c r="D11" s="236">
        <f>C11*B11</f>
        <v>6000000</v>
      </c>
      <c r="E11" s="101"/>
      <c r="F11" s="101"/>
    </row>
    <row r="12" ht="13.5" spans="1:6">
      <c r="A12" s="237" t="s">
        <v>37</v>
      </c>
      <c r="B12" s="234">
        <v>1</v>
      </c>
      <c r="C12" s="235">
        <v>2500000</v>
      </c>
      <c r="D12" s="236">
        <f>C12*B12</f>
        <v>2500000</v>
      </c>
      <c r="E12" s="101"/>
      <c r="F12" s="101"/>
    </row>
    <row r="13" ht="13.5" spans="1:6">
      <c r="A13" s="238" t="s">
        <v>18</v>
      </c>
      <c r="B13" s="234"/>
      <c r="C13" s="235"/>
      <c r="D13" s="236">
        <f>SUM(D5:D12)</f>
        <v>29036400</v>
      </c>
      <c r="E13" s="101"/>
      <c r="F13" s="101"/>
    </row>
    <row r="14" ht="13.5" spans="2:6">
      <c r="B14" s="239"/>
      <c r="C14" s="239"/>
      <c r="D14" s="240"/>
      <c r="E14" s="101"/>
      <c r="F14" s="101"/>
    </row>
    <row r="15" spans="5:6">
      <c r="E15" s="101"/>
      <c r="F15" s="101"/>
    </row>
    <row r="16" ht="13.5" spans="1:6">
      <c r="A16" s="230"/>
      <c r="B16" s="101"/>
      <c r="C16" s="101"/>
      <c r="D16" s="101"/>
      <c r="E16" s="101"/>
      <c r="F16" s="101"/>
    </row>
    <row r="17" ht="14.25" spans="1:6">
      <c r="A17" s="230"/>
      <c r="B17" s="101"/>
      <c r="C17" s="101"/>
      <c r="D17" s="101"/>
      <c r="E17" s="101"/>
      <c r="F17" s="101"/>
    </row>
    <row r="18" ht="13.5" spans="1:6">
      <c r="A18" s="241" t="s">
        <v>38</v>
      </c>
      <c r="B18" s="242" t="s">
        <v>39</v>
      </c>
      <c r="C18" s="101"/>
      <c r="D18" s="101"/>
      <c r="E18" s="101"/>
      <c r="F18" s="101"/>
    </row>
    <row r="19" ht="13.5" spans="1:6">
      <c r="A19" s="243" t="s">
        <v>40</v>
      </c>
      <c r="B19" s="244">
        <v>5600000</v>
      </c>
      <c r="C19" s="101"/>
      <c r="D19" s="101"/>
      <c r="E19" s="101"/>
      <c r="F19" s="101"/>
    </row>
    <row r="20" ht="13.5" spans="1:6">
      <c r="A20" s="243" t="s">
        <v>41</v>
      </c>
      <c r="B20" s="244">
        <v>5000000</v>
      </c>
      <c r="C20" s="101"/>
      <c r="D20" s="101"/>
      <c r="E20" s="101"/>
      <c r="F20" s="101"/>
    </row>
    <row r="21" ht="13.5" spans="1:6">
      <c r="A21" s="243" t="s">
        <v>42</v>
      </c>
      <c r="B21" s="244">
        <v>5600000</v>
      </c>
      <c r="C21" s="101"/>
      <c r="D21" s="101"/>
      <c r="E21" s="101"/>
      <c r="F21" s="101"/>
    </row>
    <row r="22" ht="13.5" spans="1:6">
      <c r="A22" s="245"/>
      <c r="B22" s="246">
        <f>SUM(B19:B21)</f>
        <v>16200000</v>
      </c>
      <c r="C22" s="101"/>
      <c r="D22" s="101"/>
      <c r="E22" s="101"/>
      <c r="F22" s="101"/>
    </row>
    <row r="23" ht="13.5" spans="1:6">
      <c r="A23" s="230"/>
      <c r="B23" s="101"/>
      <c r="C23" s="101"/>
      <c r="D23" s="101"/>
      <c r="E23" s="101"/>
      <c r="F23" s="101"/>
    </row>
    <row r="25" spans="4:4">
      <c r="D25" t="s">
        <v>43</v>
      </c>
    </row>
  </sheetData>
  <pageMargins left="0.7875" right="0.7875" top="1.05277777777778" bottom="1.05277777777778" header="0.7875" footer="0.7875"/>
  <pageSetup paperSize="1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420E"/>
  </sheetPr>
  <dimension ref="A1:O30"/>
  <sheetViews>
    <sheetView zoomScale="95" zoomScaleNormal="95" workbookViewId="0">
      <selection activeCell="Q26" sqref="Q26"/>
    </sheetView>
  </sheetViews>
  <sheetFormatPr defaultColWidth="9.57142857142857" defaultRowHeight="12"/>
  <cols>
    <col min="1" max="1" width="44.1428571428571" customWidth="1"/>
    <col min="2" max="2" width="20.4285714285714" customWidth="1"/>
    <col min="3" max="3" width="18.5714285714286" customWidth="1"/>
    <col min="4" max="4" width="22.2857142857143" customWidth="1"/>
    <col min="5" max="5" width="4.71428571428571" customWidth="1"/>
    <col min="6" max="6" width="17.7142857142857" style="172" customWidth="1"/>
    <col min="7" max="9" width="10.1428571428571" style="172" customWidth="1"/>
    <col min="10" max="10" width="8.28571428571429" style="172" customWidth="1"/>
    <col min="11" max="11" width="6.14285714285714" customWidth="1"/>
    <col min="12" max="12" width="52.7142857142857" customWidth="1"/>
    <col min="13" max="13" width="6.14285714285714" customWidth="1"/>
  </cols>
  <sheetData>
    <row r="1" ht="18.75" customHeight="1" spans="1:5">
      <c r="A1" s="102" t="s">
        <v>44</v>
      </c>
      <c r="B1" s="102"/>
      <c r="E1" s="135"/>
    </row>
    <row r="2" ht="14.25" customHeight="1" spans="1:9">
      <c r="A2" s="103"/>
      <c r="B2" s="104"/>
      <c r="C2" s="104"/>
      <c r="D2" s="104"/>
      <c r="E2" s="136"/>
      <c r="F2" s="199"/>
      <c r="G2" s="199"/>
      <c r="H2" s="200"/>
      <c r="I2" s="200"/>
    </row>
    <row r="3" ht="25.5" customHeight="1" spans="1:12">
      <c r="A3" s="173" t="s">
        <v>45</v>
      </c>
      <c r="B3" s="174"/>
      <c r="C3" s="174"/>
      <c r="D3" s="174"/>
      <c r="F3" s="201" t="s">
        <v>46</v>
      </c>
      <c r="G3" s="201"/>
      <c r="H3" s="201"/>
      <c r="I3" s="201"/>
      <c r="L3" s="158" t="s">
        <v>47</v>
      </c>
    </row>
    <row r="4" ht="14.25" customHeight="1" spans="1:12">
      <c r="A4" s="175" t="s">
        <v>48</v>
      </c>
      <c r="B4" s="176" t="s">
        <v>27</v>
      </c>
      <c r="C4" s="176" t="s">
        <v>49</v>
      </c>
      <c r="D4" s="176" t="s">
        <v>50</v>
      </c>
      <c r="E4" s="137"/>
      <c r="L4" t="s">
        <v>51</v>
      </c>
    </row>
    <row r="5" ht="18" spans="1:15">
      <c r="A5" s="177" t="s">
        <v>52</v>
      </c>
      <c r="B5" s="178">
        <f>H20</f>
        <v>960</v>
      </c>
      <c r="C5" s="179">
        <f>Cinsumos!B16</f>
        <v>1500</v>
      </c>
      <c r="D5" s="179">
        <f t="shared" ref="D5:D13" si="0">(B5*C5)</f>
        <v>1440000</v>
      </c>
      <c r="E5" s="137"/>
      <c r="F5" s="202" t="s">
        <v>53</v>
      </c>
      <c r="G5" s="202" t="s">
        <v>54</v>
      </c>
      <c r="H5" s="202" t="s">
        <v>55</v>
      </c>
      <c r="I5" s="202" t="s">
        <v>27</v>
      </c>
      <c r="J5" s="221" t="s">
        <v>56</v>
      </c>
      <c r="L5" s="222" t="s">
        <v>57</v>
      </c>
      <c r="M5" s="222" t="s">
        <v>58</v>
      </c>
      <c r="N5" s="222" t="s">
        <v>59</v>
      </c>
      <c r="O5" s="222" t="s">
        <v>60</v>
      </c>
    </row>
    <row r="6" ht="18" spans="1:15">
      <c r="A6" s="177" t="s">
        <v>61</v>
      </c>
      <c r="B6" s="178">
        <f>B5*0.125</f>
        <v>120</v>
      </c>
      <c r="C6" s="179">
        <f>Cinsumos!B3</f>
        <v>4640</v>
      </c>
      <c r="D6" s="179">
        <f t="shared" si="0"/>
        <v>556800</v>
      </c>
      <c r="E6" s="137"/>
      <c r="F6" s="203" t="s">
        <v>62</v>
      </c>
      <c r="G6" s="204" t="s">
        <v>63</v>
      </c>
      <c r="H6" s="205">
        <v>80</v>
      </c>
      <c r="I6" s="223">
        <v>225</v>
      </c>
      <c r="J6" s="224">
        <f t="shared" ref="J6:J17" si="1">+H6*12.6/40</f>
        <v>25.2</v>
      </c>
      <c r="L6" s="225" t="s">
        <v>64</v>
      </c>
      <c r="M6" s="225" t="s">
        <v>65</v>
      </c>
      <c r="N6" s="225">
        <v>5</v>
      </c>
      <c r="O6" s="225"/>
    </row>
    <row r="7" ht="18" spans="1:15">
      <c r="A7" s="180" t="s">
        <v>66</v>
      </c>
      <c r="B7" s="178">
        <f>(1.225*B5)</f>
        <v>1176</v>
      </c>
      <c r="C7" s="179">
        <f>Cinsumos!B4</f>
        <v>12</v>
      </c>
      <c r="D7" s="179">
        <f t="shared" si="0"/>
        <v>14112</v>
      </c>
      <c r="E7" s="137"/>
      <c r="F7" s="206" t="s">
        <v>67</v>
      </c>
      <c r="G7" s="207" t="s">
        <v>68</v>
      </c>
      <c r="H7" s="205">
        <v>80</v>
      </c>
      <c r="I7" s="223">
        <v>225</v>
      </c>
      <c r="J7" s="224">
        <f t="shared" si="1"/>
        <v>25.2</v>
      </c>
      <c r="L7" s="225" t="s">
        <v>69</v>
      </c>
      <c r="M7" s="225" t="s">
        <v>70</v>
      </c>
      <c r="N7" s="225">
        <v>0</v>
      </c>
      <c r="O7" s="225"/>
    </row>
    <row r="8" ht="18" spans="1:15">
      <c r="A8" s="180" t="s">
        <v>71</v>
      </c>
      <c r="B8" s="178">
        <f>(B5/2)</f>
        <v>480</v>
      </c>
      <c r="C8" s="179">
        <f>Cinsumos!B5</f>
        <v>14.4585</v>
      </c>
      <c r="D8" s="179">
        <f t="shared" si="0"/>
        <v>6940.08</v>
      </c>
      <c r="E8" s="137"/>
      <c r="F8" s="203" t="s">
        <v>72</v>
      </c>
      <c r="G8" s="207" t="s">
        <v>73</v>
      </c>
      <c r="H8" s="205">
        <v>80</v>
      </c>
      <c r="I8" s="223">
        <v>225</v>
      </c>
      <c r="J8" s="224">
        <f t="shared" si="1"/>
        <v>25.2</v>
      </c>
      <c r="K8" s="163" t="s">
        <v>74</v>
      </c>
      <c r="L8" s="225" t="s">
        <v>75</v>
      </c>
      <c r="M8" s="225" t="s">
        <v>76</v>
      </c>
      <c r="N8" s="225">
        <v>0</v>
      </c>
      <c r="O8" s="225"/>
    </row>
    <row r="9" ht="18" spans="1:15">
      <c r="A9" s="180" t="s">
        <v>77</v>
      </c>
      <c r="B9" s="178">
        <f>(I20*0.454)/4</f>
        <v>306.45</v>
      </c>
      <c r="C9" s="179">
        <f>Cinsumos!B18</f>
        <v>21.063</v>
      </c>
      <c r="D9" s="179">
        <f t="shared" si="0"/>
        <v>6454.75635</v>
      </c>
      <c r="E9" s="137"/>
      <c r="F9" s="206" t="s">
        <v>78</v>
      </c>
      <c r="G9" s="208" t="s">
        <v>79</v>
      </c>
      <c r="H9" s="205">
        <v>80</v>
      </c>
      <c r="I9" s="223">
        <v>225</v>
      </c>
      <c r="J9" s="224">
        <f t="shared" si="1"/>
        <v>25.2</v>
      </c>
      <c r="L9" s="225" t="s">
        <v>80</v>
      </c>
      <c r="M9" s="225" t="s">
        <v>81</v>
      </c>
      <c r="N9" s="225">
        <v>0</v>
      </c>
      <c r="O9" s="225"/>
    </row>
    <row r="10" ht="18" spans="1:15">
      <c r="A10" s="180" t="s">
        <v>82</v>
      </c>
      <c r="B10" s="178">
        <f>I20</f>
        <v>2700</v>
      </c>
      <c r="C10" s="179">
        <f>Cinsumos!B19</f>
        <v>765.735</v>
      </c>
      <c r="D10" s="179">
        <f t="shared" si="0"/>
        <v>2067484.5</v>
      </c>
      <c r="E10" s="137"/>
      <c r="F10" s="203" t="s">
        <v>83</v>
      </c>
      <c r="G10" s="208"/>
      <c r="H10" s="205">
        <v>80</v>
      </c>
      <c r="I10" s="223">
        <v>225</v>
      </c>
      <c r="J10" s="224">
        <f t="shared" si="1"/>
        <v>25.2</v>
      </c>
      <c r="L10" s="225" t="s">
        <v>84</v>
      </c>
      <c r="M10" s="225"/>
      <c r="N10" s="225">
        <v>8</v>
      </c>
      <c r="O10" s="225" t="s">
        <v>85</v>
      </c>
    </row>
    <row r="11" ht="18" spans="1:15">
      <c r="A11" s="180" t="s">
        <v>86</v>
      </c>
      <c r="B11" s="178">
        <f>I20</f>
        <v>2700</v>
      </c>
      <c r="C11" s="179">
        <f>Cinsumos!B25</f>
        <v>3.3</v>
      </c>
      <c r="D11" s="179">
        <f t="shared" si="0"/>
        <v>8910</v>
      </c>
      <c r="E11" s="137"/>
      <c r="F11" s="206" t="s">
        <v>87</v>
      </c>
      <c r="G11" s="208"/>
      <c r="H11" s="205">
        <v>80</v>
      </c>
      <c r="I11" s="223">
        <v>225</v>
      </c>
      <c r="J11" s="224">
        <f t="shared" si="1"/>
        <v>25.2</v>
      </c>
      <c r="L11" s="225" t="s">
        <v>88</v>
      </c>
      <c r="M11" s="225" t="s">
        <v>89</v>
      </c>
      <c r="N11" s="225">
        <v>180</v>
      </c>
      <c r="O11" s="225"/>
    </row>
    <row r="12" ht="18" spans="1:15">
      <c r="A12" s="180" t="s">
        <v>90</v>
      </c>
      <c r="B12" s="181">
        <f>B19*0.32</f>
        <v>43.776</v>
      </c>
      <c r="C12" s="179">
        <f>Cinsumos!B7</f>
        <v>1895</v>
      </c>
      <c r="D12" s="179">
        <f t="shared" si="0"/>
        <v>82955.52</v>
      </c>
      <c r="E12" s="144"/>
      <c r="F12" s="203" t="s">
        <v>91</v>
      </c>
      <c r="G12" s="209"/>
      <c r="H12" s="205">
        <v>80</v>
      </c>
      <c r="I12" s="223">
        <v>225</v>
      </c>
      <c r="J12" s="224">
        <f t="shared" si="1"/>
        <v>25.2</v>
      </c>
      <c r="L12" s="225" t="s">
        <v>75</v>
      </c>
      <c r="M12" s="225" t="s">
        <v>92</v>
      </c>
      <c r="N12" s="225">
        <v>20</v>
      </c>
      <c r="O12" s="225"/>
    </row>
    <row r="13" ht="14.25" customHeight="1" spans="1:15">
      <c r="A13" s="180" t="s">
        <v>93</v>
      </c>
      <c r="B13" s="178">
        <f>I20</f>
        <v>2700</v>
      </c>
      <c r="C13" s="179">
        <v>150</v>
      </c>
      <c r="D13" s="179">
        <f t="shared" si="0"/>
        <v>405000</v>
      </c>
      <c r="E13" s="144"/>
      <c r="F13" s="206" t="s">
        <v>94</v>
      </c>
      <c r="G13" s="210"/>
      <c r="H13" s="205">
        <v>80</v>
      </c>
      <c r="I13" s="223">
        <v>225</v>
      </c>
      <c r="J13" s="224">
        <f t="shared" si="1"/>
        <v>25.2</v>
      </c>
      <c r="L13" s="225" t="s">
        <v>95</v>
      </c>
      <c r="M13" s="225"/>
      <c r="N13" s="225">
        <v>0</v>
      </c>
      <c r="O13" s="225"/>
    </row>
    <row r="14" ht="18" spans="1:15">
      <c r="A14" s="182" t="s">
        <v>18</v>
      </c>
      <c r="B14" s="183"/>
      <c r="C14" s="183"/>
      <c r="D14" s="184">
        <f>SUM(D5:D13)</f>
        <v>4588656.85635</v>
      </c>
      <c r="E14" s="144"/>
      <c r="F14" s="203" t="s">
        <v>96</v>
      </c>
      <c r="G14" s="209"/>
      <c r="H14" s="205">
        <v>80</v>
      </c>
      <c r="I14" s="223">
        <v>225</v>
      </c>
      <c r="J14" s="224">
        <f t="shared" si="1"/>
        <v>25.2</v>
      </c>
      <c r="L14" s="225" t="s">
        <v>97</v>
      </c>
      <c r="M14" s="225"/>
      <c r="N14" s="225">
        <v>20</v>
      </c>
      <c r="O14" s="225"/>
    </row>
    <row r="15" ht="18" spans="1:15">
      <c r="A15" s="185"/>
      <c r="B15" s="186"/>
      <c r="C15" s="186"/>
      <c r="D15" s="186"/>
      <c r="E15" s="137"/>
      <c r="F15" s="206" t="s">
        <v>98</v>
      </c>
      <c r="G15" s="209"/>
      <c r="H15" s="205">
        <v>80</v>
      </c>
      <c r="I15" s="223">
        <v>225</v>
      </c>
      <c r="J15" s="224">
        <f t="shared" si="1"/>
        <v>25.2</v>
      </c>
      <c r="L15" s="225" t="s">
        <v>75</v>
      </c>
      <c r="M15" s="225" t="s">
        <v>81</v>
      </c>
      <c r="N15" s="225">
        <v>0</v>
      </c>
      <c r="O15" s="225"/>
    </row>
    <row r="16" ht="18" spans="1:15">
      <c r="A16" s="187" t="s">
        <v>99</v>
      </c>
      <c r="B16" s="188"/>
      <c r="C16" s="188"/>
      <c r="D16" s="189"/>
      <c r="E16" s="137"/>
      <c r="F16" s="203" t="s">
        <v>100</v>
      </c>
      <c r="G16" s="209"/>
      <c r="H16" s="205">
        <v>80</v>
      </c>
      <c r="I16" s="223">
        <v>225</v>
      </c>
      <c r="J16" s="224">
        <f t="shared" si="1"/>
        <v>25.2</v>
      </c>
      <c r="L16" s="225" t="s">
        <v>101</v>
      </c>
      <c r="M16" s="225"/>
      <c r="N16" s="225">
        <v>20</v>
      </c>
      <c r="O16" s="225"/>
    </row>
    <row r="17" ht="18" spans="1:15">
      <c r="A17" s="190" t="s">
        <v>102</v>
      </c>
      <c r="B17" s="191" t="s">
        <v>27</v>
      </c>
      <c r="C17" s="192" t="s">
        <v>103</v>
      </c>
      <c r="D17" s="193" t="s">
        <v>104</v>
      </c>
      <c r="E17" s="144"/>
      <c r="F17" s="206" t="s">
        <v>105</v>
      </c>
      <c r="G17" s="211"/>
      <c r="H17" s="205">
        <v>80</v>
      </c>
      <c r="I17" s="223">
        <v>225</v>
      </c>
      <c r="J17" s="224">
        <f t="shared" si="1"/>
        <v>25.2</v>
      </c>
      <c r="L17" s="225" t="s">
        <v>106</v>
      </c>
      <c r="M17" s="225" t="s">
        <v>107</v>
      </c>
      <c r="N17" s="225">
        <v>2</v>
      </c>
      <c r="O17" s="225"/>
    </row>
    <row r="18" ht="18" spans="1:15">
      <c r="A18" s="190" t="s">
        <v>108</v>
      </c>
      <c r="B18" s="190">
        <v>0</v>
      </c>
      <c r="C18" s="194">
        <v>230000</v>
      </c>
      <c r="D18" s="194">
        <f>C18*B18</f>
        <v>0</v>
      </c>
      <c r="E18" s="144"/>
      <c r="F18" s="212"/>
      <c r="G18" s="211"/>
      <c r="H18" s="205"/>
      <c r="I18" s="215"/>
      <c r="J18" s="226"/>
      <c r="L18" s="225" t="s">
        <v>109</v>
      </c>
      <c r="M18" s="225"/>
      <c r="N18" s="225">
        <v>30</v>
      </c>
      <c r="O18" s="225"/>
    </row>
    <row r="19" ht="18" spans="1:15">
      <c r="A19" s="190" t="s">
        <v>110</v>
      </c>
      <c r="B19" s="190">
        <f>N21*F20*1.2</f>
        <v>136.8</v>
      </c>
      <c r="C19" s="194">
        <f>+F29</f>
        <v>10965</v>
      </c>
      <c r="D19" s="194">
        <f>C19*B19</f>
        <v>1500012</v>
      </c>
      <c r="E19" s="146"/>
      <c r="F19" s="213"/>
      <c r="G19" s="214"/>
      <c r="H19" s="215"/>
      <c r="I19" s="215"/>
      <c r="J19" s="226"/>
      <c r="L19" s="225"/>
      <c r="M19" s="225"/>
      <c r="N19" s="225"/>
      <c r="O19" s="225"/>
    </row>
    <row r="20" ht="18" spans="1:15">
      <c r="A20" s="195" t="s">
        <v>18</v>
      </c>
      <c r="B20" s="196"/>
      <c r="C20" s="197"/>
      <c r="D20" s="198">
        <f>SUM(D18:D19)</f>
        <v>1500012</v>
      </c>
      <c r="E20" s="146"/>
      <c r="F20" s="149">
        <f>COUNTA(F6:F19)*2</f>
        <v>24</v>
      </c>
      <c r="G20" s="216"/>
      <c r="H20" s="217">
        <f>SUM(H5:H19)</f>
        <v>960</v>
      </c>
      <c r="I20" s="227">
        <f>SUM(I5:I19)</f>
        <v>2700</v>
      </c>
      <c r="J20" s="228">
        <f>((I20*0.028375)/(H20+B21))*100</f>
        <v>7.98046875</v>
      </c>
      <c r="L20" s="225"/>
      <c r="M20" s="225"/>
      <c r="N20" s="225"/>
      <c r="O20" s="225"/>
    </row>
    <row r="21" ht="16.5" spans="1:15">
      <c r="A21" s="106"/>
      <c r="B21" s="106"/>
      <c r="C21" s="129"/>
      <c r="D21" s="152"/>
      <c r="F21" s="218"/>
      <c r="G21" s="218"/>
      <c r="H21" s="218"/>
      <c r="I21" s="218"/>
      <c r="L21" s="229" t="s">
        <v>47</v>
      </c>
      <c r="M21" s="229"/>
      <c r="N21" s="229">
        <f>SUM(N6:N20)/60</f>
        <v>4.75</v>
      </c>
      <c r="O21" s="229"/>
    </row>
    <row r="22" spans="1:7">
      <c r="A22" s="130" t="s">
        <v>45</v>
      </c>
      <c r="B22" s="131"/>
      <c r="D22" s="27"/>
      <c r="E22" s="153"/>
      <c r="F22" s="156"/>
      <c r="G22" s="156"/>
    </row>
    <row r="23" spans="1:9">
      <c r="A23" s="70" t="s">
        <v>111</v>
      </c>
      <c r="B23" s="124">
        <f>D14</f>
        <v>4588656.85635</v>
      </c>
      <c r="C23" s="132"/>
      <c r="F23" s="172">
        <f>454/16</f>
        <v>28.375</v>
      </c>
      <c r="I23" s="172">
        <f>454/16*4</f>
        <v>113.5</v>
      </c>
    </row>
    <row r="24" spans="1:7">
      <c r="A24" s="70" t="s">
        <v>99</v>
      </c>
      <c r="B24" s="133">
        <f>D20</f>
        <v>1500012</v>
      </c>
      <c r="C24" s="132"/>
      <c r="E24" s="101"/>
      <c r="F24" s="219"/>
      <c r="G24" s="219"/>
    </row>
    <row r="25" spans="1:7">
      <c r="A25" s="134" t="s">
        <v>18</v>
      </c>
      <c r="B25" s="128">
        <f>SUM(B23:B24)</f>
        <v>6088668.85635</v>
      </c>
      <c r="C25" s="132"/>
      <c r="F25" s="220">
        <v>26000</v>
      </c>
      <c r="G25" s="220">
        <f>F25/I23</f>
        <v>229.074889867841</v>
      </c>
    </row>
    <row r="28" spans="3:6">
      <c r="C28" s="27" t="s">
        <v>103</v>
      </c>
      <c r="D28" s="27" t="s">
        <v>112</v>
      </c>
      <c r="E28" s="101"/>
      <c r="F28" s="156" t="s">
        <v>113</v>
      </c>
    </row>
    <row r="29" spans="3:6">
      <c r="C29" s="29">
        <v>1720000</v>
      </c>
      <c r="D29" s="29">
        <f>+C29*1.53</f>
        <v>2631600</v>
      </c>
      <c r="E29" s="101"/>
      <c r="F29" s="157">
        <f>+D29/240</f>
        <v>10965</v>
      </c>
    </row>
    <row r="30" spans="3:6">
      <c r="C30" s="29">
        <v>6143878</v>
      </c>
      <c r="D30" s="29">
        <f>+C30*1.53</f>
        <v>9400133.34</v>
      </c>
      <c r="E30" s="101"/>
      <c r="F30" s="157">
        <f>+D30/240</f>
        <v>39167.22225</v>
      </c>
    </row>
  </sheetData>
  <mergeCells count="1">
    <mergeCell ref="A1:B1"/>
  </mergeCells>
  <pageMargins left="0.747916666666667" right="0.747916666666667" top="0.984027777777778" bottom="0.984027777777778" header="0.511811023622047" footer="0.511811023622047"/>
  <pageSetup paperSize="1" orientation="portrait" horizontalDpi="300" verticalDpi="3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DD4814"/>
  </sheetPr>
  <dimension ref="A1:O29"/>
  <sheetViews>
    <sheetView zoomScale="95" zoomScaleNormal="95" workbookViewId="0">
      <selection activeCell="L14" sqref="L14"/>
    </sheetView>
  </sheetViews>
  <sheetFormatPr defaultColWidth="9.57142857142857" defaultRowHeight="12"/>
  <cols>
    <col min="1" max="1" width="26.8571428571429" customWidth="1"/>
    <col min="2" max="2" width="18" customWidth="1"/>
    <col min="3" max="3" width="15.4285714285714" customWidth="1"/>
    <col min="4" max="4" width="15" customWidth="1"/>
    <col min="5" max="5" width="4.71428571428571" customWidth="1"/>
    <col min="6" max="6" width="18.4285714285714" customWidth="1"/>
    <col min="7" max="9" width="10.1428571428571" customWidth="1"/>
    <col min="10" max="10" width="8.57142857142857" customWidth="1"/>
    <col min="12" max="12" width="52.7142857142857" customWidth="1"/>
    <col min="13" max="13" width="17.2857142857143" style="101" customWidth="1"/>
  </cols>
  <sheetData>
    <row r="1" ht="18.75" customHeight="1" spans="1:5">
      <c r="A1" s="102" t="s">
        <v>114</v>
      </c>
      <c r="B1" s="102"/>
      <c r="E1" s="135"/>
    </row>
    <row r="2" ht="14.25" customHeight="1" spans="1:9">
      <c r="A2" s="103"/>
      <c r="B2" s="104"/>
      <c r="C2" s="104"/>
      <c r="D2" s="104"/>
      <c r="E2" s="136"/>
      <c r="F2" s="103"/>
      <c r="G2" s="103"/>
      <c r="H2" s="104"/>
      <c r="I2" s="104"/>
    </row>
    <row r="3" ht="25.5" customHeight="1" spans="1:12">
      <c r="A3" s="105" t="s">
        <v>45</v>
      </c>
      <c r="B3" s="106"/>
      <c r="C3" s="106"/>
      <c r="D3" s="106"/>
      <c r="F3" s="106" t="s">
        <v>46</v>
      </c>
      <c r="G3" s="106"/>
      <c r="H3" s="106"/>
      <c r="I3" s="106"/>
      <c r="L3" s="158" t="s">
        <v>47</v>
      </c>
    </row>
    <row r="4" ht="25.5" customHeight="1" spans="1:12">
      <c r="A4" s="107" t="s">
        <v>48</v>
      </c>
      <c r="B4" s="108" t="s">
        <v>27</v>
      </c>
      <c r="C4" s="108" t="s">
        <v>49</v>
      </c>
      <c r="D4" s="108" t="s">
        <v>50</v>
      </c>
      <c r="E4" s="137"/>
      <c r="L4" t="s">
        <v>51</v>
      </c>
    </row>
    <row r="5" spans="1:15">
      <c r="A5" s="109" t="s">
        <v>52</v>
      </c>
      <c r="B5" s="110">
        <f>H20</f>
        <v>40</v>
      </c>
      <c r="C5" s="111">
        <f>Cinsumos!B16</f>
        <v>1500</v>
      </c>
      <c r="D5" s="111">
        <f t="shared" ref="D5:D10" si="0">(B5*C5)</f>
        <v>60000</v>
      </c>
      <c r="E5" s="137"/>
      <c r="F5" s="138" t="s">
        <v>53</v>
      </c>
      <c r="G5" s="138" t="s">
        <v>54</v>
      </c>
      <c r="H5" s="138" t="s">
        <v>55</v>
      </c>
      <c r="I5" s="138" t="s">
        <v>27</v>
      </c>
      <c r="J5" s="159" t="s">
        <v>115</v>
      </c>
      <c r="L5" s="160" t="s">
        <v>57</v>
      </c>
      <c r="M5" s="167" t="s">
        <v>58</v>
      </c>
      <c r="N5" s="160" t="s">
        <v>59</v>
      </c>
      <c r="O5" s="160" t="s">
        <v>60</v>
      </c>
    </row>
    <row r="6" spans="1:15">
      <c r="A6" s="109" t="s">
        <v>61</v>
      </c>
      <c r="B6" s="110">
        <f>B5*0.14</f>
        <v>5.6</v>
      </c>
      <c r="C6" s="111">
        <f>Cinsumos!B3</f>
        <v>4640</v>
      </c>
      <c r="D6" s="111">
        <f t="shared" si="0"/>
        <v>25984</v>
      </c>
      <c r="E6" s="137"/>
      <c r="F6" s="139" t="s">
        <v>62</v>
      </c>
      <c r="G6" s="140" t="s">
        <v>63</v>
      </c>
      <c r="H6" s="141">
        <v>40</v>
      </c>
      <c r="I6" s="161">
        <f>H6*0.28</f>
        <v>11.2</v>
      </c>
      <c r="J6" s="162">
        <f t="shared" ref="J6:J16" si="1">I6/((B$5*1.03)+(B$6))*100</f>
        <v>23.9316239316239</v>
      </c>
      <c r="K6" s="163"/>
      <c r="L6" s="164" t="s">
        <v>64</v>
      </c>
      <c r="M6" s="168" t="s">
        <v>65</v>
      </c>
      <c r="N6" s="164">
        <v>5</v>
      </c>
      <c r="O6" s="164"/>
    </row>
    <row r="7" spans="1:14">
      <c r="A7" s="112" t="s">
        <v>66</v>
      </c>
      <c r="B7" s="110">
        <f>(1.225*B5)</f>
        <v>49</v>
      </c>
      <c r="C7" s="111">
        <f>Cinsumos!B4</f>
        <v>12</v>
      </c>
      <c r="D7" s="111">
        <f t="shared" si="0"/>
        <v>588</v>
      </c>
      <c r="E7" s="142"/>
      <c r="F7" s="139"/>
      <c r="G7" s="140"/>
      <c r="H7" s="141"/>
      <c r="I7" s="161"/>
      <c r="J7" s="162"/>
      <c r="K7" s="163"/>
      <c r="L7" t="s">
        <v>69</v>
      </c>
      <c r="M7" s="169" t="s">
        <v>70</v>
      </c>
      <c r="N7">
        <v>0</v>
      </c>
    </row>
    <row r="8" spans="1:14">
      <c r="A8" s="112" t="s">
        <v>71</v>
      </c>
      <c r="B8" s="110">
        <f>(B5/2)</f>
        <v>20</v>
      </c>
      <c r="C8" s="111">
        <v>5.3</v>
      </c>
      <c r="D8" s="111">
        <f t="shared" si="0"/>
        <v>106</v>
      </c>
      <c r="E8" s="137"/>
      <c r="F8" s="139"/>
      <c r="G8" s="140"/>
      <c r="H8" s="141"/>
      <c r="I8" s="161"/>
      <c r="J8" s="162"/>
      <c r="L8" t="s">
        <v>75</v>
      </c>
      <c r="M8" s="169" t="s">
        <v>76</v>
      </c>
      <c r="N8">
        <v>0</v>
      </c>
    </row>
    <row r="9" spans="1:14">
      <c r="A9" s="112" t="s">
        <v>116</v>
      </c>
      <c r="B9" s="110">
        <f>(I20*0.454)/4</f>
        <v>1.2712</v>
      </c>
      <c r="C9" s="111">
        <f>Cinsumos!B18</f>
        <v>21.063</v>
      </c>
      <c r="D9" s="111">
        <f t="shared" si="0"/>
        <v>26.7752856</v>
      </c>
      <c r="E9" s="137"/>
      <c r="F9" s="139"/>
      <c r="G9" s="140"/>
      <c r="H9" s="141"/>
      <c r="I9" s="161"/>
      <c r="J9" s="162"/>
      <c r="L9" t="s">
        <v>80</v>
      </c>
      <c r="M9" s="169" t="s">
        <v>81</v>
      </c>
      <c r="N9">
        <v>0</v>
      </c>
    </row>
    <row r="10" spans="1:15">
      <c r="A10" s="112" t="s">
        <v>117</v>
      </c>
      <c r="B10" s="110">
        <f>I20/0.5</f>
        <v>22.4</v>
      </c>
      <c r="C10" s="111">
        <f>Cinsumos!B26</f>
        <v>833</v>
      </c>
      <c r="D10" s="111">
        <f t="shared" si="0"/>
        <v>18659.2</v>
      </c>
      <c r="E10" s="137"/>
      <c r="F10" s="139"/>
      <c r="G10" s="140"/>
      <c r="H10" s="141"/>
      <c r="I10" s="161"/>
      <c r="J10" s="162"/>
      <c r="L10" t="s">
        <v>84</v>
      </c>
      <c r="M10" s="169"/>
      <c r="N10">
        <v>2</v>
      </c>
      <c r="O10" t="s">
        <v>85</v>
      </c>
    </row>
    <row r="11" spans="1:15">
      <c r="A11" s="112" t="s">
        <v>86</v>
      </c>
      <c r="B11" s="110">
        <f>B10</f>
        <v>22.4</v>
      </c>
      <c r="C11" s="111">
        <v>0</v>
      </c>
      <c r="D11" s="111">
        <v>0</v>
      </c>
      <c r="E11" s="137"/>
      <c r="F11" s="139"/>
      <c r="G11" s="143"/>
      <c r="H11" s="141"/>
      <c r="I11" s="161"/>
      <c r="J11" s="162"/>
      <c r="L11" s="164" t="s">
        <v>88</v>
      </c>
      <c r="M11" s="168" t="s">
        <v>89</v>
      </c>
      <c r="N11" s="164">
        <v>180</v>
      </c>
      <c r="O11" s="164"/>
    </row>
    <row r="12" spans="1:15">
      <c r="A12" s="112" t="s">
        <v>90</v>
      </c>
      <c r="B12" s="57">
        <f>B19*0.32</f>
        <v>3.392</v>
      </c>
      <c r="C12" s="111">
        <f>Cinsumos!B7</f>
        <v>1895</v>
      </c>
      <c r="D12" s="111">
        <f>(B12*C12)</f>
        <v>6427.84</v>
      </c>
      <c r="E12" s="144"/>
      <c r="F12" s="139"/>
      <c r="G12" s="143"/>
      <c r="H12" s="141"/>
      <c r="I12" s="161"/>
      <c r="J12" s="162"/>
      <c r="L12" s="164" t="s">
        <v>75</v>
      </c>
      <c r="M12" s="168" t="s">
        <v>92</v>
      </c>
      <c r="N12" s="164">
        <v>5</v>
      </c>
      <c r="O12" s="164"/>
    </row>
    <row r="13" ht="14.25" customHeight="1" spans="1:15">
      <c r="A13" s="112" t="s">
        <v>93</v>
      </c>
      <c r="B13" s="110">
        <f>B10</f>
        <v>22.4</v>
      </c>
      <c r="C13" s="111">
        <v>150</v>
      </c>
      <c r="D13" s="111">
        <f>(B13*C13)</f>
        <v>3360</v>
      </c>
      <c r="E13" s="144"/>
      <c r="F13" s="139"/>
      <c r="G13" s="143"/>
      <c r="H13" s="141"/>
      <c r="I13" s="161"/>
      <c r="J13" s="162"/>
      <c r="L13" t="s">
        <v>95</v>
      </c>
      <c r="M13" s="169"/>
      <c r="N13">
        <v>1</v>
      </c>
      <c r="O13" s="164"/>
    </row>
    <row r="14" spans="1:15">
      <c r="A14" s="113" t="s">
        <v>18</v>
      </c>
      <c r="B14" s="114"/>
      <c r="C14" s="115"/>
      <c r="D14" s="115">
        <f>SUM(D5:D13)</f>
        <v>115151.8152856</v>
      </c>
      <c r="E14" s="144"/>
      <c r="F14" s="139"/>
      <c r="G14" s="143"/>
      <c r="H14" s="141"/>
      <c r="I14" s="161"/>
      <c r="J14" s="162"/>
      <c r="L14" s="164" t="s">
        <v>97</v>
      </c>
      <c r="M14" s="168"/>
      <c r="N14" s="164">
        <v>15</v>
      </c>
      <c r="O14" s="164"/>
    </row>
    <row r="15" spans="1:15">
      <c r="A15" s="116"/>
      <c r="B15" s="117"/>
      <c r="C15" s="117"/>
      <c r="D15" s="117"/>
      <c r="E15" s="137"/>
      <c r="F15" s="139"/>
      <c r="G15" s="143"/>
      <c r="H15" s="141"/>
      <c r="I15" s="161"/>
      <c r="J15" s="162"/>
      <c r="L15" s="164" t="s">
        <v>75</v>
      </c>
      <c r="M15" s="168" t="s">
        <v>81</v>
      </c>
      <c r="N15" s="164">
        <v>0</v>
      </c>
      <c r="O15" s="164"/>
    </row>
    <row r="16" spans="1:15">
      <c r="A16" s="118" t="s">
        <v>99</v>
      </c>
      <c r="B16" s="119"/>
      <c r="C16" s="119"/>
      <c r="D16" s="120"/>
      <c r="E16" s="137"/>
      <c r="F16" s="139"/>
      <c r="G16" s="143"/>
      <c r="H16" s="141"/>
      <c r="I16" s="161"/>
      <c r="J16" s="162"/>
      <c r="L16" s="164" t="s">
        <v>101</v>
      </c>
      <c r="M16" s="168"/>
      <c r="N16" s="164">
        <v>20</v>
      </c>
      <c r="O16" s="164"/>
    </row>
    <row r="17" spans="1:15">
      <c r="A17" s="70" t="s">
        <v>102</v>
      </c>
      <c r="B17" s="121" t="s">
        <v>27</v>
      </c>
      <c r="C17" s="122" t="s">
        <v>103</v>
      </c>
      <c r="D17" s="123" t="s">
        <v>104</v>
      </c>
      <c r="E17" s="144"/>
      <c r="F17" s="139"/>
      <c r="G17" s="145"/>
      <c r="H17" s="141"/>
      <c r="I17" s="161"/>
      <c r="J17" s="165"/>
      <c r="L17" s="164" t="s">
        <v>106</v>
      </c>
      <c r="M17" s="168" t="s">
        <v>107</v>
      </c>
      <c r="N17" s="164">
        <v>2</v>
      </c>
      <c r="O17" s="164"/>
    </row>
    <row r="18" spans="1:15">
      <c r="A18" s="70" t="s">
        <v>108</v>
      </c>
      <c r="B18" s="70">
        <v>0</v>
      </c>
      <c r="C18" s="124">
        <v>230000</v>
      </c>
      <c r="D18" s="124">
        <f>C18*B18</f>
        <v>0</v>
      </c>
      <c r="E18" s="144"/>
      <c r="F18" s="139"/>
      <c r="G18" s="145"/>
      <c r="H18" s="141"/>
      <c r="I18" s="161"/>
      <c r="J18" s="165"/>
      <c r="L18" t="s">
        <v>109</v>
      </c>
      <c r="M18" s="169"/>
      <c r="N18" s="170">
        <v>35</v>
      </c>
      <c r="O18" s="164"/>
    </row>
    <row r="19" spans="1:15">
      <c r="A19" s="70" t="s">
        <v>110</v>
      </c>
      <c r="B19" s="70">
        <f>N21*F20*1.2</f>
        <v>10.6</v>
      </c>
      <c r="C19" s="124">
        <f>+F28</f>
        <v>10965</v>
      </c>
      <c r="D19" s="124">
        <f>C19*B19</f>
        <v>116229</v>
      </c>
      <c r="E19" s="146"/>
      <c r="F19" s="147"/>
      <c r="G19" s="148"/>
      <c r="H19" s="141"/>
      <c r="I19" s="161">
        <f>H19*23/40</f>
        <v>0</v>
      </c>
      <c r="J19" s="165"/>
      <c r="L19" s="164"/>
      <c r="M19" s="168"/>
      <c r="N19" s="164"/>
      <c r="O19" s="164"/>
    </row>
    <row r="20" spans="1:15">
      <c r="A20" s="125" t="s">
        <v>18</v>
      </c>
      <c r="B20" s="126"/>
      <c r="C20" s="127"/>
      <c r="D20" s="128">
        <f>SUM(D18:D19)</f>
        <v>116229</v>
      </c>
      <c r="E20" s="146"/>
      <c r="F20" s="149">
        <f>COUNTA(F6:F19)*2</f>
        <v>2</v>
      </c>
      <c r="G20" s="150"/>
      <c r="H20" s="151">
        <f>SUM(H5:H19)</f>
        <v>40</v>
      </c>
      <c r="I20" s="161">
        <f>SUM(I6:I19)</f>
        <v>11.2</v>
      </c>
      <c r="J20" s="162">
        <f>I20/((B$5*1.03)+(B$6))*100</f>
        <v>23.9316239316239</v>
      </c>
      <c r="O20" s="164"/>
    </row>
    <row r="21" spans="1:15">
      <c r="A21" s="106"/>
      <c r="B21" s="106"/>
      <c r="C21" s="129"/>
      <c r="D21" s="106"/>
      <c r="F21" s="152"/>
      <c r="G21" s="152"/>
      <c r="H21" s="152"/>
      <c r="I21" s="152"/>
      <c r="L21" s="166" t="s">
        <v>47</v>
      </c>
      <c r="M21" s="171"/>
      <c r="N21" s="166">
        <f>SUM(N6:N20)/60</f>
        <v>4.41666666666667</v>
      </c>
      <c r="O21" s="166"/>
    </row>
    <row r="22" spans="1:2">
      <c r="A22" s="130" t="s">
        <v>45</v>
      </c>
      <c r="B22" s="131"/>
    </row>
    <row r="23" spans="1:7">
      <c r="A23" s="70" t="s">
        <v>111</v>
      </c>
      <c r="B23" s="124">
        <f>D14</f>
        <v>115151.8152856</v>
      </c>
      <c r="C23" s="132"/>
      <c r="D23" s="27"/>
      <c r="E23" s="153"/>
      <c r="F23" s="27"/>
      <c r="G23" s="27"/>
    </row>
    <row r="24" spans="1:3">
      <c r="A24" s="70" t="s">
        <v>99</v>
      </c>
      <c r="B24" s="133">
        <f>D20</f>
        <v>116229</v>
      </c>
      <c r="C24" s="132"/>
    </row>
    <row r="25" spans="1:7">
      <c r="A25" s="134" t="s">
        <v>18</v>
      </c>
      <c r="B25" s="128">
        <f>SUM(B23:B24)</f>
        <v>231380.8152856</v>
      </c>
      <c r="C25" s="132"/>
      <c r="E25" s="101"/>
      <c r="F25" s="154"/>
      <c r="G25" s="154"/>
    </row>
    <row r="26" spans="1:8">
      <c r="A26" s="106"/>
      <c r="B26" s="129"/>
      <c r="F26" s="155"/>
      <c r="G26" s="155"/>
      <c r="H26" s="152"/>
    </row>
    <row r="27" spans="3:6">
      <c r="C27" s="27" t="s">
        <v>103</v>
      </c>
      <c r="D27" s="27" t="s">
        <v>112</v>
      </c>
      <c r="E27" s="101"/>
      <c r="F27" s="156" t="s">
        <v>113</v>
      </c>
    </row>
    <row r="28" spans="3:6">
      <c r="C28" s="29">
        <v>1720000</v>
      </c>
      <c r="D28" s="29">
        <f>+C28*1.53</f>
        <v>2631600</v>
      </c>
      <c r="E28" s="101"/>
      <c r="F28" s="157">
        <f>+D28/240</f>
        <v>10965</v>
      </c>
    </row>
    <row r="29" spans="3:6">
      <c r="C29" s="29">
        <v>6143878</v>
      </c>
      <c r="D29" s="29">
        <f>+C29*1.53</f>
        <v>9400133.34</v>
      </c>
      <c r="E29" s="101"/>
      <c r="F29" s="157">
        <f>+D29/240</f>
        <v>39167.22225</v>
      </c>
    </row>
  </sheetData>
  <mergeCells count="1">
    <mergeCell ref="A1:B1"/>
  </mergeCells>
  <pageMargins left="0.747916666666667" right="0.747916666666667" top="0.984027777777778" bottom="0.984027777777778" header="0.511811023622047" footer="0.511811023622047"/>
  <pageSetup paperSize="1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61"/>
  <sheetViews>
    <sheetView tabSelected="1" zoomScale="95" zoomScaleNormal="95" workbookViewId="0">
      <selection activeCell="D8" sqref="D8"/>
    </sheetView>
  </sheetViews>
  <sheetFormatPr defaultColWidth="9.57142857142857" defaultRowHeight="12"/>
  <cols>
    <col min="1" max="1" width="28.1428571428571" customWidth="1"/>
    <col min="2" max="3" width="15.2857142857143" customWidth="1"/>
    <col min="4" max="4" width="46" customWidth="1"/>
    <col min="5" max="5" width="15.2857142857143" customWidth="1"/>
    <col min="7" max="7" width="13.7142857142857" customWidth="1"/>
    <col min="8" max="8" width="24.5714285714286" customWidth="1"/>
    <col min="9" max="9" width="41.7142857142857" customWidth="1"/>
    <col min="1024" max="1024" width="11.5714285714286" customWidth="1"/>
  </cols>
  <sheetData>
    <row r="1" ht="16.5" spans="1:5">
      <c r="A1" s="45" t="s">
        <v>118</v>
      </c>
      <c r="B1" s="45"/>
      <c r="C1" s="45"/>
      <c r="E1" t="s">
        <v>119</v>
      </c>
    </row>
    <row r="2" ht="24" spans="1:10">
      <c r="A2" s="46" t="s">
        <v>48</v>
      </c>
      <c r="B2" s="47" t="s">
        <v>49</v>
      </c>
      <c r="C2" s="48" t="s">
        <v>120</v>
      </c>
      <c r="D2" s="49" t="s">
        <v>121</v>
      </c>
      <c r="E2" s="85" t="s">
        <v>122</v>
      </c>
      <c r="F2" s="85" t="s">
        <v>123</v>
      </c>
      <c r="G2" s="85" t="s">
        <v>124</v>
      </c>
      <c r="H2" s="85" t="s">
        <v>125</v>
      </c>
      <c r="I2" s="97" t="s">
        <v>126</v>
      </c>
      <c r="J2" s="98" t="s">
        <v>127</v>
      </c>
    </row>
    <row r="3" ht="13.5" spans="1:10">
      <c r="A3" s="50" t="s">
        <v>128</v>
      </c>
      <c r="B3" s="51">
        <v>4640</v>
      </c>
      <c r="C3" s="52">
        <v>3350</v>
      </c>
      <c r="D3" s="53" t="s">
        <v>129</v>
      </c>
      <c r="E3" s="86">
        <v>6800</v>
      </c>
      <c r="F3" s="87">
        <f>+E3*5/100</f>
        <v>340</v>
      </c>
      <c r="G3" s="87">
        <f>+E3+F3</f>
        <v>7140</v>
      </c>
      <c r="H3" s="88">
        <f>G3/1</f>
        <v>7140</v>
      </c>
      <c r="I3" s="79" t="s">
        <v>130</v>
      </c>
      <c r="J3" t="s">
        <v>131</v>
      </c>
    </row>
    <row r="4" ht="13.5" spans="1:10">
      <c r="A4" s="54" t="s">
        <v>132</v>
      </c>
      <c r="B4" s="51">
        <f>C4/1000</f>
        <v>12</v>
      </c>
      <c r="C4" s="52">
        <v>12000</v>
      </c>
      <c r="D4" s="55" t="s">
        <v>133</v>
      </c>
      <c r="E4" s="89">
        <v>271000</v>
      </c>
      <c r="F4" s="88">
        <f>+E4*5/100</f>
        <v>13550</v>
      </c>
      <c r="G4" s="88">
        <f>(E4+F4)/25</f>
        <v>11382</v>
      </c>
      <c r="H4" s="88"/>
      <c r="I4" s="79" t="s">
        <v>134</v>
      </c>
      <c r="J4" t="s">
        <v>131</v>
      </c>
    </row>
    <row r="5" ht="13.5" spans="1:10">
      <c r="A5" s="54" t="s">
        <v>135</v>
      </c>
      <c r="B5" s="51">
        <f>G12/1000</f>
        <v>14.4585</v>
      </c>
      <c r="C5" s="52">
        <v>9000</v>
      </c>
      <c r="D5" s="56" t="s">
        <v>136</v>
      </c>
      <c r="E5" s="90">
        <v>17700</v>
      </c>
      <c r="F5" s="88">
        <f t="shared" ref="F5:F49" si="0">+E5*19/100</f>
        <v>3363</v>
      </c>
      <c r="G5" s="88">
        <f t="shared" ref="G5:G42" si="1">+E5+F5</f>
        <v>21063</v>
      </c>
      <c r="H5" s="88"/>
      <c r="I5" s="82" t="s">
        <v>137</v>
      </c>
      <c r="J5" t="s">
        <v>131</v>
      </c>
    </row>
    <row r="6" ht="13.5" spans="1:10">
      <c r="A6" s="57" t="s">
        <v>138</v>
      </c>
      <c r="B6" s="51">
        <v>88</v>
      </c>
      <c r="C6" s="52">
        <v>19600</v>
      </c>
      <c r="D6" s="56" t="s">
        <v>139</v>
      </c>
      <c r="E6" s="90">
        <v>6303</v>
      </c>
      <c r="F6" s="88">
        <f t="shared" si="0"/>
        <v>1197.57</v>
      </c>
      <c r="G6" s="88">
        <f t="shared" si="1"/>
        <v>7500.57</v>
      </c>
      <c r="H6" s="88"/>
      <c r="I6" s="82" t="s">
        <v>140</v>
      </c>
      <c r="J6" t="s">
        <v>131</v>
      </c>
    </row>
    <row r="7" ht="13.5" spans="1:10">
      <c r="A7" s="57" t="s">
        <v>90</v>
      </c>
      <c r="B7" s="58">
        <v>1895</v>
      </c>
      <c r="C7" s="58">
        <v>1895</v>
      </c>
      <c r="D7" s="59" t="s">
        <v>141</v>
      </c>
      <c r="E7" s="89">
        <v>5600</v>
      </c>
      <c r="F7" s="88">
        <f t="shared" si="0"/>
        <v>1064</v>
      </c>
      <c r="G7" s="88">
        <f t="shared" si="1"/>
        <v>6664</v>
      </c>
      <c r="H7" s="88"/>
      <c r="I7" s="82" t="s">
        <v>137</v>
      </c>
      <c r="J7" t="s">
        <v>131</v>
      </c>
    </row>
    <row r="8" ht="13.5" spans="1:10">
      <c r="A8" s="60" t="s">
        <v>142</v>
      </c>
      <c r="B8" s="51">
        <f>61000/1000</f>
        <v>61</v>
      </c>
      <c r="C8" s="52">
        <v>112000</v>
      </c>
      <c r="D8" s="59" t="s">
        <v>143</v>
      </c>
      <c r="E8" s="89">
        <v>5042</v>
      </c>
      <c r="F8" s="88">
        <f t="shared" si="0"/>
        <v>957.98</v>
      </c>
      <c r="G8" s="88">
        <f t="shared" si="1"/>
        <v>5999.98</v>
      </c>
      <c r="H8" s="88"/>
      <c r="I8" s="82" t="s">
        <v>140</v>
      </c>
      <c r="J8" t="s">
        <v>131</v>
      </c>
    </row>
    <row r="9" ht="13.5" spans="1:10">
      <c r="A9" s="57" t="s">
        <v>144</v>
      </c>
      <c r="B9" s="51">
        <v>1566</v>
      </c>
      <c r="C9" s="52">
        <v>1560</v>
      </c>
      <c r="D9" s="59" t="s">
        <v>145</v>
      </c>
      <c r="E9" s="89">
        <v>98000</v>
      </c>
      <c r="F9" s="88">
        <f t="shared" si="0"/>
        <v>18620</v>
      </c>
      <c r="G9" s="88">
        <f t="shared" si="1"/>
        <v>116620</v>
      </c>
      <c r="H9" s="88">
        <f>G9/25</f>
        <v>4664.8</v>
      </c>
      <c r="I9" s="82" t="s">
        <v>134</v>
      </c>
      <c r="J9" t="s">
        <v>131</v>
      </c>
    </row>
    <row r="10" ht="13.5" spans="1:10">
      <c r="A10" s="57" t="s">
        <v>146</v>
      </c>
      <c r="B10" s="51">
        <f>(235+69)*1.19</f>
        <v>361.76</v>
      </c>
      <c r="C10" s="52">
        <v>4250</v>
      </c>
      <c r="D10" s="61" t="s">
        <v>147</v>
      </c>
      <c r="E10" s="89">
        <v>15966</v>
      </c>
      <c r="F10" s="88">
        <f t="shared" si="0"/>
        <v>3033.54</v>
      </c>
      <c r="G10" s="88">
        <f t="shared" si="1"/>
        <v>18999.54</v>
      </c>
      <c r="H10" s="88"/>
      <c r="I10" s="82" t="s">
        <v>140</v>
      </c>
      <c r="J10" t="s">
        <v>131</v>
      </c>
    </row>
    <row r="11" ht="13.5" spans="1:10">
      <c r="A11" s="57" t="s">
        <v>148</v>
      </c>
      <c r="B11" s="51">
        <v>77000</v>
      </c>
      <c r="C11" s="52">
        <v>11000</v>
      </c>
      <c r="D11" s="62" t="s">
        <v>149</v>
      </c>
      <c r="E11" s="90">
        <v>29900</v>
      </c>
      <c r="F11" s="88">
        <f t="shared" si="0"/>
        <v>5681</v>
      </c>
      <c r="G11" s="88">
        <f t="shared" si="1"/>
        <v>35581</v>
      </c>
      <c r="H11" s="88"/>
      <c r="I11" s="82" t="s">
        <v>137</v>
      </c>
      <c r="J11" t="s">
        <v>131</v>
      </c>
    </row>
    <row r="12" ht="13.5" spans="1:10">
      <c r="A12" s="57" t="s">
        <v>150</v>
      </c>
      <c r="B12" s="51">
        <v>660</v>
      </c>
      <c r="C12" s="52">
        <v>5050</v>
      </c>
      <c r="D12" s="63" t="s">
        <v>151</v>
      </c>
      <c r="E12" s="89">
        <v>12150</v>
      </c>
      <c r="F12" s="88">
        <f t="shared" si="0"/>
        <v>2308.5</v>
      </c>
      <c r="G12" s="88">
        <f t="shared" si="1"/>
        <v>14458.5</v>
      </c>
      <c r="H12" s="88"/>
      <c r="I12" s="82" t="s">
        <v>137</v>
      </c>
      <c r="J12" t="s">
        <v>131</v>
      </c>
    </row>
    <row r="13" ht="13.5" spans="1:10">
      <c r="A13" s="57" t="s">
        <v>152</v>
      </c>
      <c r="B13" s="51">
        <v>4400</v>
      </c>
      <c r="C13" s="52">
        <v>6700</v>
      </c>
      <c r="D13" s="64" t="s">
        <v>153</v>
      </c>
      <c r="E13" s="91">
        <v>0</v>
      </c>
      <c r="F13" s="92">
        <f t="shared" si="0"/>
        <v>0</v>
      </c>
      <c r="G13" s="92">
        <f t="shared" si="1"/>
        <v>0</v>
      </c>
      <c r="H13" s="92"/>
      <c r="I13" s="99"/>
      <c r="J13" t="s">
        <v>131</v>
      </c>
    </row>
    <row r="14" ht="13.5" spans="1:10">
      <c r="A14" s="57" t="s">
        <v>154</v>
      </c>
      <c r="B14" s="65">
        <v>6875</v>
      </c>
      <c r="C14" s="66">
        <v>7000</v>
      </c>
      <c r="D14" s="63" t="s">
        <v>155</v>
      </c>
      <c r="E14" s="89">
        <v>2101</v>
      </c>
      <c r="F14" s="88">
        <f t="shared" si="0"/>
        <v>399.19</v>
      </c>
      <c r="G14" s="88">
        <f t="shared" si="1"/>
        <v>2500.19</v>
      </c>
      <c r="H14" s="88"/>
      <c r="I14" s="82" t="s">
        <v>140</v>
      </c>
      <c r="J14" t="s">
        <v>131</v>
      </c>
    </row>
    <row r="15" ht="13.5" spans="1:10">
      <c r="A15" s="57" t="s">
        <v>156</v>
      </c>
      <c r="B15" s="51">
        <v>3317.6</v>
      </c>
      <c r="C15" s="52">
        <v>6500</v>
      </c>
      <c r="D15" s="67" t="s">
        <v>157</v>
      </c>
      <c r="E15" s="90">
        <v>2101</v>
      </c>
      <c r="F15" s="88">
        <f t="shared" si="0"/>
        <v>399.19</v>
      </c>
      <c r="G15" s="88">
        <f t="shared" si="1"/>
        <v>2500.19</v>
      </c>
      <c r="H15" s="88"/>
      <c r="I15" s="82" t="s">
        <v>140</v>
      </c>
      <c r="J15" t="s">
        <v>131</v>
      </c>
    </row>
    <row r="16" ht="13.5" spans="1:10">
      <c r="A16" s="57" t="s">
        <v>52</v>
      </c>
      <c r="B16" s="51">
        <v>1500</v>
      </c>
      <c r="C16" s="52">
        <v>1450</v>
      </c>
      <c r="D16" s="67" t="s">
        <v>158</v>
      </c>
      <c r="E16" s="90">
        <v>2101</v>
      </c>
      <c r="F16" s="88">
        <f t="shared" si="0"/>
        <v>399.19</v>
      </c>
      <c r="G16" s="88">
        <f t="shared" si="1"/>
        <v>2500.19</v>
      </c>
      <c r="H16" s="88"/>
      <c r="I16" s="82" t="s">
        <v>140</v>
      </c>
      <c r="J16" t="s">
        <v>131</v>
      </c>
    </row>
    <row r="17" ht="13.5" spans="1:10">
      <c r="A17" s="57" t="s">
        <v>159</v>
      </c>
      <c r="B17" s="51">
        <f>34000/50</f>
        <v>680</v>
      </c>
      <c r="C17" s="52">
        <f>G43</f>
        <v>1582.7</v>
      </c>
      <c r="D17" s="67" t="s">
        <v>160</v>
      </c>
      <c r="E17" s="90">
        <v>2101</v>
      </c>
      <c r="F17" s="88">
        <f t="shared" si="0"/>
        <v>399.19</v>
      </c>
      <c r="G17" s="88">
        <f t="shared" si="1"/>
        <v>2500.19</v>
      </c>
      <c r="H17" s="88"/>
      <c r="I17" s="82" t="s">
        <v>140</v>
      </c>
      <c r="J17" t="s">
        <v>131</v>
      </c>
    </row>
    <row r="18" ht="13.5" spans="1:10">
      <c r="A18" s="54" t="s">
        <v>161</v>
      </c>
      <c r="B18" s="51">
        <f>G5/1000</f>
        <v>21.063</v>
      </c>
      <c r="C18" s="52">
        <v>34000</v>
      </c>
      <c r="D18" s="67" t="s">
        <v>162</v>
      </c>
      <c r="E18" s="90">
        <v>2101</v>
      </c>
      <c r="F18" s="88">
        <f t="shared" si="0"/>
        <v>399.19</v>
      </c>
      <c r="G18" s="88">
        <f t="shared" si="1"/>
        <v>2500.19</v>
      </c>
      <c r="H18" s="88"/>
      <c r="I18" s="82" t="s">
        <v>140</v>
      </c>
      <c r="J18" t="s">
        <v>131</v>
      </c>
    </row>
    <row r="19" ht="13.5" spans="1:10">
      <c r="A19" s="57" t="s">
        <v>163</v>
      </c>
      <c r="B19" s="51">
        <f>153147/200</f>
        <v>765.735</v>
      </c>
      <c r="C19" s="52">
        <v>222</v>
      </c>
      <c r="D19" s="64" t="s">
        <v>164</v>
      </c>
      <c r="E19" s="91">
        <v>0</v>
      </c>
      <c r="F19" s="92">
        <f t="shared" si="0"/>
        <v>0</v>
      </c>
      <c r="G19" s="92">
        <f t="shared" si="1"/>
        <v>0</v>
      </c>
      <c r="H19" s="92"/>
      <c r="I19" s="99"/>
      <c r="J19" t="s">
        <v>131</v>
      </c>
    </row>
    <row r="20" ht="13.5" spans="1:10">
      <c r="A20" s="57" t="s">
        <v>165</v>
      </c>
      <c r="B20" s="51">
        <v>33</v>
      </c>
      <c r="C20" s="52">
        <v>115</v>
      </c>
      <c r="D20" s="64" t="s">
        <v>166</v>
      </c>
      <c r="E20" s="91">
        <v>0</v>
      </c>
      <c r="F20" s="92">
        <f t="shared" si="0"/>
        <v>0</v>
      </c>
      <c r="G20" s="92">
        <f t="shared" si="1"/>
        <v>0</v>
      </c>
      <c r="H20" s="92"/>
      <c r="I20" s="99"/>
      <c r="J20" t="s">
        <v>131</v>
      </c>
    </row>
    <row r="21" ht="13.5" spans="1:10">
      <c r="A21" s="57" t="s">
        <v>167</v>
      </c>
      <c r="B21" s="51">
        <v>48.4</v>
      </c>
      <c r="C21" s="52">
        <v>34900</v>
      </c>
      <c r="D21" s="64" t="s">
        <v>168</v>
      </c>
      <c r="E21" s="91">
        <v>0</v>
      </c>
      <c r="F21" s="92">
        <f t="shared" si="0"/>
        <v>0</v>
      </c>
      <c r="G21" s="92">
        <f t="shared" si="1"/>
        <v>0</v>
      </c>
      <c r="H21" s="92"/>
      <c r="I21" s="99"/>
      <c r="J21" t="s">
        <v>131</v>
      </c>
    </row>
    <row r="22" ht="13.5" spans="1:10">
      <c r="A22" s="57" t="s">
        <v>169</v>
      </c>
      <c r="B22" s="51">
        <f>25025/1000</f>
        <v>25.025</v>
      </c>
      <c r="C22" s="52">
        <v>36600</v>
      </c>
      <c r="D22" s="68" t="s">
        <v>170</v>
      </c>
      <c r="E22" s="89">
        <v>8824</v>
      </c>
      <c r="F22" s="88">
        <f t="shared" si="0"/>
        <v>1676.56</v>
      </c>
      <c r="G22" s="88">
        <f t="shared" si="1"/>
        <v>10500.56</v>
      </c>
      <c r="H22" s="88"/>
      <c r="I22" s="82" t="s">
        <v>140</v>
      </c>
      <c r="J22" t="s">
        <v>131</v>
      </c>
    </row>
    <row r="23" ht="13.5" spans="1:10">
      <c r="A23" s="57" t="s">
        <v>171</v>
      </c>
      <c r="B23" s="51">
        <v>28559</v>
      </c>
      <c r="C23" s="58">
        <v>7600</v>
      </c>
      <c r="D23" s="68" t="s">
        <v>172</v>
      </c>
      <c r="E23" s="93">
        <v>7143</v>
      </c>
      <c r="F23" s="88">
        <f t="shared" si="0"/>
        <v>1357.17</v>
      </c>
      <c r="G23" s="88">
        <f t="shared" si="1"/>
        <v>8500.17</v>
      </c>
      <c r="H23" s="88"/>
      <c r="I23" s="82" t="s">
        <v>140</v>
      </c>
      <c r="J23" t="s">
        <v>131</v>
      </c>
    </row>
    <row r="24" ht="13.5" spans="1:10">
      <c r="A24" s="57" t="s">
        <v>168</v>
      </c>
      <c r="B24" s="51">
        <v>25190</v>
      </c>
      <c r="C24" s="58">
        <v>7600</v>
      </c>
      <c r="D24" s="69" t="s">
        <v>173</v>
      </c>
      <c r="E24" s="86">
        <v>2200</v>
      </c>
      <c r="F24" s="87">
        <f t="shared" si="0"/>
        <v>418</v>
      </c>
      <c r="G24" s="87">
        <f t="shared" si="1"/>
        <v>2618</v>
      </c>
      <c r="H24" s="87"/>
      <c r="I24" s="79" t="s">
        <v>130</v>
      </c>
      <c r="J24" t="s">
        <v>131</v>
      </c>
    </row>
    <row r="25" ht="13.5" spans="1:10">
      <c r="A25" s="57" t="s">
        <v>174</v>
      </c>
      <c r="B25" s="51">
        <v>3.3</v>
      </c>
      <c r="C25" s="58">
        <v>85</v>
      </c>
      <c r="D25" s="69" t="s">
        <v>175</v>
      </c>
      <c r="E25" s="86">
        <v>700</v>
      </c>
      <c r="F25" s="87">
        <f t="shared" si="0"/>
        <v>133</v>
      </c>
      <c r="G25" s="87">
        <f t="shared" si="1"/>
        <v>833</v>
      </c>
      <c r="H25" s="87"/>
      <c r="I25" s="79" t="s">
        <v>130</v>
      </c>
      <c r="J25" t="s">
        <v>131</v>
      </c>
    </row>
    <row r="26" ht="13.5" spans="1:10">
      <c r="A26" s="70" t="s">
        <v>176</v>
      </c>
      <c r="B26" s="51">
        <f>700*1.19</f>
        <v>833</v>
      </c>
      <c r="C26" s="52">
        <v>334</v>
      </c>
      <c r="D26" s="71" t="s">
        <v>177</v>
      </c>
      <c r="E26" s="89">
        <v>68000</v>
      </c>
      <c r="F26" s="88">
        <f t="shared" si="0"/>
        <v>12920</v>
      </c>
      <c r="G26" s="88">
        <f t="shared" si="1"/>
        <v>80920</v>
      </c>
      <c r="H26" s="88"/>
      <c r="I26" s="79" t="s">
        <v>130</v>
      </c>
      <c r="J26" t="s">
        <v>131</v>
      </c>
    </row>
    <row r="27" ht="13.5" spans="1:10">
      <c r="A27" s="70" t="s">
        <v>178</v>
      </c>
      <c r="B27" s="51">
        <v>55</v>
      </c>
      <c r="C27" s="52">
        <v>112</v>
      </c>
      <c r="D27" s="71" t="s">
        <v>179</v>
      </c>
      <c r="E27" s="93">
        <v>3450</v>
      </c>
      <c r="F27" s="88">
        <f t="shared" si="0"/>
        <v>655.5</v>
      </c>
      <c r="G27" s="88">
        <f t="shared" si="1"/>
        <v>4105.5</v>
      </c>
      <c r="H27" s="88"/>
      <c r="I27" s="82" t="s">
        <v>137</v>
      </c>
      <c r="J27" t="s">
        <v>131</v>
      </c>
    </row>
    <row r="28" ht="13.5" spans="1:10">
      <c r="A28" s="57" t="s">
        <v>180</v>
      </c>
      <c r="B28" s="51">
        <v>9900</v>
      </c>
      <c r="C28" s="52">
        <v>22000</v>
      </c>
      <c r="D28" s="72" t="s">
        <v>181</v>
      </c>
      <c r="E28" s="94">
        <v>0</v>
      </c>
      <c r="F28" s="92">
        <f t="shared" si="0"/>
        <v>0</v>
      </c>
      <c r="G28" s="92">
        <f t="shared" si="1"/>
        <v>0</v>
      </c>
      <c r="H28" s="92"/>
      <c r="I28" s="100"/>
      <c r="J28" t="s">
        <v>131</v>
      </c>
    </row>
    <row r="29" ht="13.5" spans="1:10">
      <c r="A29" s="57" t="s">
        <v>182</v>
      </c>
      <c r="B29" s="51">
        <v>14850</v>
      </c>
      <c r="C29" s="52">
        <v>10000</v>
      </c>
      <c r="D29" s="61" t="s">
        <v>183</v>
      </c>
      <c r="E29" s="93">
        <v>38000</v>
      </c>
      <c r="F29" s="88">
        <f t="shared" si="0"/>
        <v>7220</v>
      </c>
      <c r="G29" s="88">
        <f t="shared" si="1"/>
        <v>45220</v>
      </c>
      <c r="H29" s="88"/>
      <c r="I29" s="79" t="s">
        <v>130</v>
      </c>
      <c r="J29" t="s">
        <v>131</v>
      </c>
    </row>
    <row r="30" ht="13.5" spans="1:10">
      <c r="A30" s="57" t="s">
        <v>184</v>
      </c>
      <c r="B30" s="51">
        <v>10450</v>
      </c>
      <c r="C30" s="52">
        <v>12000</v>
      </c>
      <c r="D30" s="72" t="s">
        <v>185</v>
      </c>
      <c r="E30" s="94"/>
      <c r="F30" s="92">
        <f t="shared" si="0"/>
        <v>0</v>
      </c>
      <c r="G30" s="92">
        <f t="shared" si="1"/>
        <v>0</v>
      </c>
      <c r="H30" s="92"/>
      <c r="I30" s="100"/>
      <c r="J30" t="s">
        <v>131</v>
      </c>
    </row>
    <row r="31" ht="13.5" spans="1:10">
      <c r="A31" s="57" t="s">
        <v>186</v>
      </c>
      <c r="B31" s="51">
        <v>9900</v>
      </c>
      <c r="C31" s="52">
        <v>18000</v>
      </c>
      <c r="D31" s="71" t="s">
        <v>187</v>
      </c>
      <c r="E31" s="95">
        <v>114286</v>
      </c>
      <c r="F31" s="88">
        <f t="shared" si="0"/>
        <v>21714.34</v>
      </c>
      <c r="G31" s="88">
        <f t="shared" si="1"/>
        <v>136000.34</v>
      </c>
      <c r="H31" s="88"/>
      <c r="I31" s="82" t="s">
        <v>137</v>
      </c>
      <c r="J31" t="s">
        <v>131</v>
      </c>
    </row>
    <row r="32" ht="13.5" spans="1:10">
      <c r="A32" s="57" t="s">
        <v>188</v>
      </c>
      <c r="B32" s="51">
        <v>0</v>
      </c>
      <c r="C32" s="52">
        <v>10100</v>
      </c>
      <c r="D32" s="71" t="s">
        <v>189</v>
      </c>
      <c r="E32" s="95">
        <v>5714</v>
      </c>
      <c r="F32" s="88">
        <f t="shared" si="0"/>
        <v>1085.66</v>
      </c>
      <c r="G32" s="88">
        <f t="shared" si="1"/>
        <v>6799.66</v>
      </c>
      <c r="H32" s="88"/>
      <c r="I32" s="82" t="s">
        <v>140</v>
      </c>
      <c r="J32" t="s">
        <v>131</v>
      </c>
    </row>
    <row r="33" ht="13.5" spans="1:10">
      <c r="A33" s="73" t="s">
        <v>190</v>
      </c>
      <c r="B33" s="51">
        <v>198</v>
      </c>
      <c r="C33" s="52">
        <v>15000</v>
      </c>
      <c r="D33" s="71" t="s">
        <v>191</v>
      </c>
      <c r="E33" s="95">
        <v>9244</v>
      </c>
      <c r="F33" s="88">
        <f t="shared" si="0"/>
        <v>1756.36</v>
      </c>
      <c r="G33" s="88">
        <f t="shared" si="1"/>
        <v>11000.36</v>
      </c>
      <c r="H33" s="88"/>
      <c r="I33" s="82" t="s">
        <v>140</v>
      </c>
      <c r="J33" t="s">
        <v>131</v>
      </c>
    </row>
    <row r="34" ht="13.5" spans="1:10">
      <c r="A34" s="74" t="s">
        <v>192</v>
      </c>
      <c r="B34" s="51">
        <v>28072</v>
      </c>
      <c r="C34" s="52">
        <v>23500</v>
      </c>
      <c r="D34" s="71" t="s">
        <v>193</v>
      </c>
      <c r="E34" s="95">
        <v>15126</v>
      </c>
      <c r="F34" s="88">
        <f t="shared" si="0"/>
        <v>2873.94</v>
      </c>
      <c r="G34" s="88">
        <f t="shared" si="1"/>
        <v>17999.94</v>
      </c>
      <c r="H34" s="88"/>
      <c r="I34" s="82" t="s">
        <v>140</v>
      </c>
      <c r="J34" t="s">
        <v>131</v>
      </c>
    </row>
    <row r="35" ht="13.5" spans="1:10">
      <c r="A35" s="74" t="s">
        <v>194</v>
      </c>
      <c r="B35" s="51">
        <v>88</v>
      </c>
      <c r="C35" s="52">
        <v>19600</v>
      </c>
      <c r="D35" s="71" t="s">
        <v>195</v>
      </c>
      <c r="E35" s="89">
        <v>149</v>
      </c>
      <c r="F35" s="88">
        <f t="shared" si="0"/>
        <v>28.31</v>
      </c>
      <c r="G35" s="88">
        <f t="shared" si="1"/>
        <v>177.31</v>
      </c>
      <c r="H35" s="88"/>
      <c r="I35" s="82" t="s">
        <v>137</v>
      </c>
      <c r="J35" t="s">
        <v>131</v>
      </c>
    </row>
    <row r="36" ht="13.5" spans="1:10">
      <c r="A36" s="75" t="s">
        <v>161</v>
      </c>
      <c r="B36" s="51">
        <f>G4</f>
        <v>11382</v>
      </c>
      <c r="C36" s="76">
        <v>16500</v>
      </c>
      <c r="D36" s="71" t="s">
        <v>196</v>
      </c>
      <c r="E36" s="89">
        <v>146</v>
      </c>
      <c r="F36" s="88">
        <f t="shared" si="0"/>
        <v>27.74</v>
      </c>
      <c r="G36" s="88">
        <f t="shared" si="1"/>
        <v>173.74</v>
      </c>
      <c r="H36" s="88"/>
      <c r="I36" s="82" t="s">
        <v>137</v>
      </c>
      <c r="J36" t="s">
        <v>131</v>
      </c>
    </row>
    <row r="37" ht="13.5" spans="1:10">
      <c r="A37" s="77" t="s">
        <v>149</v>
      </c>
      <c r="B37" s="51">
        <v>29.5</v>
      </c>
      <c r="C37" s="76">
        <v>40000</v>
      </c>
      <c r="D37" s="71" t="s">
        <v>197</v>
      </c>
      <c r="E37" s="89">
        <v>180</v>
      </c>
      <c r="F37" s="88">
        <f t="shared" si="0"/>
        <v>34.2</v>
      </c>
      <c r="G37" s="88">
        <f t="shared" si="1"/>
        <v>214.2</v>
      </c>
      <c r="H37" s="88"/>
      <c r="I37" s="82" t="s">
        <v>137</v>
      </c>
      <c r="J37" t="s">
        <v>131</v>
      </c>
    </row>
    <row r="38" ht="13.5" spans="1:10">
      <c r="A38" s="77" t="s">
        <v>198</v>
      </c>
      <c r="B38" s="51">
        <v>9900</v>
      </c>
      <c r="C38" s="76">
        <v>22000</v>
      </c>
      <c r="D38" s="62" t="s">
        <v>199</v>
      </c>
      <c r="E38" s="90">
        <v>138</v>
      </c>
      <c r="F38" s="88">
        <f t="shared" si="0"/>
        <v>26.22</v>
      </c>
      <c r="G38" s="88">
        <f t="shared" si="1"/>
        <v>164.22</v>
      </c>
      <c r="H38" s="88"/>
      <c r="I38" s="82" t="s">
        <v>137</v>
      </c>
      <c r="J38" t="s">
        <v>131</v>
      </c>
    </row>
    <row r="39" ht="27" spans="1:10">
      <c r="A39" s="77" t="s">
        <v>200</v>
      </c>
      <c r="B39" s="51">
        <v>12100</v>
      </c>
      <c r="C39" s="76">
        <v>108250</v>
      </c>
      <c r="D39" s="71" t="s">
        <v>199</v>
      </c>
      <c r="E39" s="89">
        <v>138</v>
      </c>
      <c r="F39" s="88">
        <f t="shared" si="0"/>
        <v>26.22</v>
      </c>
      <c r="G39" s="88">
        <f t="shared" si="1"/>
        <v>164.22</v>
      </c>
      <c r="H39" s="88"/>
      <c r="I39" s="82" t="s">
        <v>137</v>
      </c>
      <c r="J39" t="s">
        <v>131</v>
      </c>
    </row>
    <row r="40" ht="27" spans="1:10">
      <c r="A40" s="77" t="s">
        <v>201</v>
      </c>
      <c r="B40" s="51">
        <v>9900</v>
      </c>
      <c r="C40" s="76">
        <v>19600</v>
      </c>
      <c r="D40" s="71" t="s">
        <v>202</v>
      </c>
      <c r="E40" s="89">
        <v>128</v>
      </c>
      <c r="F40" s="88">
        <f t="shared" si="0"/>
        <v>24.32</v>
      </c>
      <c r="G40" s="88">
        <f t="shared" si="1"/>
        <v>152.32</v>
      </c>
      <c r="H40" s="88"/>
      <c r="I40" s="82" t="s">
        <v>137</v>
      </c>
      <c r="J40" t="s">
        <v>131</v>
      </c>
    </row>
    <row r="41" ht="27" spans="1:10">
      <c r="A41" s="77" t="s">
        <v>203</v>
      </c>
      <c r="B41" s="51">
        <v>385</v>
      </c>
      <c r="C41" s="76">
        <v>45000</v>
      </c>
      <c r="D41" s="71" t="s">
        <v>204</v>
      </c>
      <c r="E41" s="89">
        <v>183</v>
      </c>
      <c r="F41" s="88">
        <f t="shared" si="0"/>
        <v>34.77</v>
      </c>
      <c r="G41" s="88">
        <f t="shared" si="1"/>
        <v>217.77</v>
      </c>
      <c r="H41" s="88"/>
      <c r="I41" s="82" t="s">
        <v>137</v>
      </c>
      <c r="J41" t="s">
        <v>131</v>
      </c>
    </row>
    <row r="42" ht="13.5" spans="1:10">
      <c r="A42" s="77" t="s">
        <v>205</v>
      </c>
      <c r="B42" s="51">
        <v>12650</v>
      </c>
      <c r="C42" s="78"/>
      <c r="D42" s="71" t="s">
        <v>206</v>
      </c>
      <c r="E42" s="89">
        <v>186</v>
      </c>
      <c r="F42" s="88">
        <f t="shared" si="0"/>
        <v>35.34</v>
      </c>
      <c r="G42" s="88">
        <f t="shared" si="1"/>
        <v>221.34</v>
      </c>
      <c r="H42" s="88"/>
      <c r="I42" s="82" t="s">
        <v>137</v>
      </c>
      <c r="J42" t="s">
        <v>131</v>
      </c>
    </row>
    <row r="43" ht="13.5" spans="1:11">
      <c r="A43" s="77" t="s">
        <v>207</v>
      </c>
      <c r="B43" s="51">
        <v>11550</v>
      </c>
      <c r="C43" s="78"/>
      <c r="D43" s="69" t="s">
        <v>208</v>
      </c>
      <c r="E43" s="86">
        <v>66500</v>
      </c>
      <c r="F43" s="87">
        <f t="shared" si="0"/>
        <v>12635</v>
      </c>
      <c r="G43" s="87">
        <f>(E43+F43)/50</f>
        <v>1582.7</v>
      </c>
      <c r="H43" s="87"/>
      <c r="I43" s="69" t="s">
        <v>130</v>
      </c>
      <c r="J43" t="s">
        <v>131</v>
      </c>
      <c r="K43">
        <f>G43*50</f>
        <v>79135</v>
      </c>
    </row>
    <row r="44" ht="13.5" spans="1:10">
      <c r="A44" s="77" t="s">
        <v>199</v>
      </c>
      <c r="B44" s="51">
        <v>11550</v>
      </c>
      <c r="C44" s="78"/>
      <c r="D44" s="79" t="s">
        <v>209</v>
      </c>
      <c r="E44" s="96">
        <v>25000</v>
      </c>
      <c r="F44" s="88">
        <f t="shared" si="0"/>
        <v>4750</v>
      </c>
      <c r="G44" s="88">
        <f t="shared" ref="G44:G49" si="2">+E44+F44</f>
        <v>29750</v>
      </c>
      <c r="H44" s="88"/>
      <c r="I44" s="79" t="s">
        <v>134</v>
      </c>
      <c r="J44" t="s">
        <v>131</v>
      </c>
    </row>
    <row r="45" ht="13.5" spans="1:10">
      <c r="A45" s="77" t="s">
        <v>210</v>
      </c>
      <c r="B45" s="51">
        <v>27170</v>
      </c>
      <c r="C45" s="78"/>
      <c r="D45" s="80" t="s">
        <v>211</v>
      </c>
      <c r="E45" s="92"/>
      <c r="F45" s="92">
        <f t="shared" si="0"/>
        <v>0</v>
      </c>
      <c r="G45" s="92">
        <f t="shared" si="2"/>
        <v>0</v>
      </c>
      <c r="H45" s="92"/>
      <c r="I45" s="99"/>
      <c r="J45" t="s">
        <v>131</v>
      </c>
    </row>
    <row r="46" ht="13.5" spans="1:10">
      <c r="A46" s="81" t="s">
        <v>212</v>
      </c>
      <c r="B46" s="51">
        <v>8800</v>
      </c>
      <c r="C46" s="76">
        <v>106000</v>
      </c>
      <c r="D46" s="80" t="s">
        <v>213</v>
      </c>
      <c r="E46" s="92"/>
      <c r="F46" s="92">
        <f t="shared" si="0"/>
        <v>0</v>
      </c>
      <c r="G46" s="92">
        <f t="shared" si="2"/>
        <v>0</v>
      </c>
      <c r="H46" s="92"/>
      <c r="I46" s="99"/>
      <c r="J46" t="s">
        <v>131</v>
      </c>
    </row>
    <row r="47" ht="13.5" spans="1:10">
      <c r="A47" t="s">
        <v>214</v>
      </c>
      <c r="B47" s="51">
        <v>110</v>
      </c>
      <c r="C47" s="76"/>
      <c r="D47" s="80" t="s">
        <v>215</v>
      </c>
      <c r="E47" s="92"/>
      <c r="F47" s="92">
        <f t="shared" si="0"/>
        <v>0</v>
      </c>
      <c r="G47" s="92">
        <f t="shared" si="2"/>
        <v>0</v>
      </c>
      <c r="H47" s="92"/>
      <c r="I47" s="99"/>
      <c r="J47" t="s">
        <v>131</v>
      </c>
    </row>
    <row r="48" ht="13.5" spans="1:10">
      <c r="A48" t="s">
        <v>206</v>
      </c>
      <c r="B48" s="51">
        <f>C48/1000</f>
        <v>51.69</v>
      </c>
      <c r="C48" s="76">
        <v>51690</v>
      </c>
      <c r="D48" s="82" t="s">
        <v>216</v>
      </c>
      <c r="E48" s="96">
        <v>360</v>
      </c>
      <c r="F48" s="88">
        <f t="shared" si="0"/>
        <v>68.4</v>
      </c>
      <c r="G48" s="88">
        <f t="shared" si="2"/>
        <v>428.4</v>
      </c>
      <c r="H48" s="88"/>
      <c r="I48" s="79" t="s">
        <v>130</v>
      </c>
      <c r="J48" t="s">
        <v>131</v>
      </c>
    </row>
    <row r="49" ht="13.5" spans="1:10">
      <c r="A49" t="s">
        <v>196</v>
      </c>
      <c r="B49" s="51">
        <f>C49/1000</f>
        <v>39.5</v>
      </c>
      <c r="C49" s="76">
        <v>39500</v>
      </c>
      <c r="D49" s="82" t="s">
        <v>217</v>
      </c>
      <c r="E49" s="96">
        <v>1400</v>
      </c>
      <c r="F49" s="88">
        <f t="shared" si="0"/>
        <v>266</v>
      </c>
      <c r="G49" s="88">
        <f t="shared" si="2"/>
        <v>1666</v>
      </c>
      <c r="H49" s="88"/>
      <c r="I49" s="79" t="s">
        <v>130</v>
      </c>
      <c r="J49" t="s">
        <v>131</v>
      </c>
    </row>
    <row r="50" spans="1:3">
      <c r="A50" t="s">
        <v>199</v>
      </c>
      <c r="B50" s="51">
        <v>135.3</v>
      </c>
      <c r="C50" s="76"/>
    </row>
    <row r="51" spans="1:3">
      <c r="A51" t="s">
        <v>195</v>
      </c>
      <c r="B51" s="51">
        <v>146.289</v>
      </c>
      <c r="C51" s="83"/>
    </row>
    <row r="52" spans="1:3">
      <c r="A52" t="s">
        <v>202</v>
      </c>
      <c r="B52" s="51">
        <v>125.4</v>
      </c>
      <c r="C52" s="83"/>
    </row>
    <row r="53" spans="1:3">
      <c r="A53" t="s">
        <v>204</v>
      </c>
      <c r="B53" s="51">
        <f>C53/1000</f>
        <v>47.628</v>
      </c>
      <c r="C53" s="83">
        <v>47628</v>
      </c>
    </row>
    <row r="54" spans="1:3">
      <c r="A54" t="s">
        <v>197</v>
      </c>
      <c r="B54" s="51">
        <f>C54/1000</f>
        <v>41</v>
      </c>
      <c r="C54" s="83">
        <v>41000</v>
      </c>
    </row>
    <row r="55" spans="1:3">
      <c r="A55" t="s">
        <v>218</v>
      </c>
      <c r="B55" s="51">
        <f>C55/1000</f>
        <v>60.663</v>
      </c>
      <c r="C55" s="83">
        <v>60663</v>
      </c>
    </row>
    <row r="56" spans="1:3">
      <c r="A56" t="s">
        <v>219</v>
      </c>
      <c r="B56" s="51">
        <f>C56/1000</f>
        <v>39.799</v>
      </c>
      <c r="C56" s="83">
        <v>39799</v>
      </c>
    </row>
    <row r="57" spans="1:3">
      <c r="A57" t="s">
        <v>220</v>
      </c>
      <c r="B57" s="51">
        <v>121</v>
      </c>
      <c r="C57" s="83"/>
    </row>
    <row r="58" spans="1:3">
      <c r="A58" t="s">
        <v>221</v>
      </c>
      <c r="B58" s="51">
        <v>1248.5</v>
      </c>
      <c r="C58" s="83"/>
    </row>
    <row r="59" spans="1:3">
      <c r="A59" t="s">
        <v>222</v>
      </c>
      <c r="B59" s="51">
        <v>356.4</v>
      </c>
      <c r="C59" s="83">
        <v>6100</v>
      </c>
    </row>
    <row r="60" spans="1:3">
      <c r="A60" t="s">
        <v>212</v>
      </c>
      <c r="B60" s="51">
        <v>4400</v>
      </c>
      <c r="C60" s="83">
        <v>106000</v>
      </c>
    </row>
    <row r="61" spans="3:3">
      <c r="C61" s="84"/>
    </row>
  </sheetData>
  <autoFilter ref="D2:J84">
    <filterColumn colId="6">
      <customFilters>
        <customFilter operator="equal" val="Lacteo"/>
      </customFilters>
    </filterColumn>
    <extLst/>
  </autoFilter>
  <mergeCells count="1">
    <mergeCell ref="A1:B1"/>
  </mergeCells>
  <pageMargins left="0.747916666666667" right="0.747916666666667" top="0.984027777777778" bottom="0.984027777777778" header="0.511811023622047" footer="0.511811023622047"/>
  <pageSetup paperSize="1" orientation="portrait" horizontalDpi="300" verticalDpi="300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9"/>
  <sheetViews>
    <sheetView zoomScale="95" zoomScaleNormal="95" topLeftCell="A6" workbookViewId="0">
      <selection activeCell="B16" sqref="B16"/>
    </sheetView>
  </sheetViews>
  <sheetFormatPr defaultColWidth="11.1428571428571" defaultRowHeight="12" outlineLevelCol="7"/>
  <cols>
    <col min="1" max="1" width="24.4285714285714" customWidth="1"/>
    <col min="2" max="2" width="15.5714285714286" customWidth="1"/>
    <col min="3" max="3" width="11.2857142857143" customWidth="1"/>
    <col min="4" max="4" width="12.4285714285714" customWidth="1"/>
    <col min="5" max="5" width="9.42857142857143" customWidth="1"/>
    <col min="7" max="7" width="13.1428571428571" customWidth="1"/>
    <col min="8" max="8" width="10.5714285714286" customWidth="1"/>
  </cols>
  <sheetData>
    <row r="2" spans="1:3">
      <c r="A2" s="27" t="s">
        <v>223</v>
      </c>
      <c r="C2" s="28">
        <v>1233320</v>
      </c>
    </row>
    <row r="3" spans="1:1">
      <c r="A3" t="s">
        <v>224</v>
      </c>
    </row>
    <row r="5" spans="1:1">
      <c r="A5" s="27" t="s">
        <v>225</v>
      </c>
    </row>
    <row r="6" spans="1:3">
      <c r="A6" t="s">
        <v>226</v>
      </c>
      <c r="C6" s="29">
        <v>1233320</v>
      </c>
    </row>
    <row r="7" spans="1:5">
      <c r="A7" t="s">
        <v>227</v>
      </c>
      <c r="B7">
        <f>(26782866/429.21)</f>
        <v>62400.3774376179</v>
      </c>
      <c r="C7" s="29">
        <f>+B7*E7</f>
        <v>26782866</v>
      </c>
      <c r="D7" s="26">
        <f>+E26</f>
        <v>116018.294768911</v>
      </c>
      <c r="E7">
        <v>429.21</v>
      </c>
    </row>
    <row r="8" spans="1:1">
      <c r="A8" t="s">
        <v>228</v>
      </c>
    </row>
    <row r="9" spans="1:1">
      <c r="A9" t="s">
        <v>229</v>
      </c>
    </row>
    <row r="10" spans="6:6">
      <c r="F10" s="39">
        <f>134008/2</f>
        <v>67004</v>
      </c>
    </row>
    <row r="11" ht="36" spans="1:8">
      <c r="A11" s="30" t="s">
        <v>230</v>
      </c>
      <c r="B11" s="31" t="s">
        <v>24</v>
      </c>
      <c r="C11" s="31" t="str">
        <f>+A6</f>
        <v>Arriendo</v>
      </c>
      <c r="D11" s="31" t="str">
        <f>+A7</f>
        <v>LUZ</v>
      </c>
      <c r="E11" s="31" t="str">
        <f>+A8</f>
        <v>AGUA</v>
      </c>
      <c r="F11" s="40" t="s">
        <v>231</v>
      </c>
      <c r="G11" s="41" t="str">
        <f>+A9</f>
        <v>MAQUINARIA Y EQUIPOS USO</v>
      </c>
      <c r="H11" s="31" t="s">
        <v>232</v>
      </c>
    </row>
    <row r="12" spans="1:8">
      <c r="A12" s="32" t="s">
        <v>233</v>
      </c>
      <c r="B12" s="33">
        <v>0.15</v>
      </c>
      <c r="C12" s="34">
        <f t="shared" ref="C12:C21" si="0">+$C$6*B12</f>
        <v>184998</v>
      </c>
      <c r="D12" s="34">
        <f t="shared" ref="D12:D21" si="1">+$D$7*B12</f>
        <v>17402.7442153367</v>
      </c>
      <c r="E12" s="34">
        <f t="shared" ref="E12:E21" si="2">+$D$29*B12</f>
        <v>1758.699603367</v>
      </c>
      <c r="F12" s="34">
        <f t="shared" ref="F12:F21" si="3">+$F$10*B12</f>
        <v>10050.6</v>
      </c>
      <c r="G12" s="34">
        <f>+Depreciacion!$G$21*'Gastos Operacionales'!B12</f>
        <v>1976.45833333333</v>
      </c>
      <c r="H12" s="42">
        <f t="shared" ref="H12:H21" si="4">SUM(C12:G12)</f>
        <v>216186.502152037</v>
      </c>
    </row>
    <row r="13" spans="1:8">
      <c r="A13" s="32" t="s">
        <v>234</v>
      </c>
      <c r="B13" s="33">
        <v>0.07</v>
      </c>
      <c r="C13" s="34">
        <f t="shared" si="0"/>
        <v>86332.4</v>
      </c>
      <c r="D13" s="34">
        <f t="shared" si="1"/>
        <v>8121.28063382378</v>
      </c>
      <c r="E13" s="34">
        <f t="shared" si="2"/>
        <v>820.726481571266</v>
      </c>
      <c r="F13" s="34">
        <f t="shared" si="3"/>
        <v>4690.28</v>
      </c>
      <c r="G13" s="34">
        <f>+Depreciacion!$G$21*'Gastos Operacionales'!B13</f>
        <v>922.347222222222</v>
      </c>
      <c r="H13" s="42">
        <f t="shared" si="4"/>
        <v>100887.034337617</v>
      </c>
    </row>
    <row r="14" spans="1:8">
      <c r="A14" s="32" t="s">
        <v>235</v>
      </c>
      <c r="B14" s="33">
        <v>0.089747552594074</v>
      </c>
      <c r="C14" s="34">
        <f t="shared" si="0"/>
        <v>110687.451565323</v>
      </c>
      <c r="D14" s="34">
        <f t="shared" si="1"/>
        <v>10412.3580116476</v>
      </c>
      <c r="E14" s="34">
        <f t="shared" si="2"/>
        <v>1052.25990100238</v>
      </c>
      <c r="F14" s="34">
        <f t="shared" si="3"/>
        <v>6013.44501401333</v>
      </c>
      <c r="G14" s="34">
        <f>+Depreciacion!$G$21*'Gastos Operacionales'!B14</f>
        <v>1182.54865480553</v>
      </c>
      <c r="H14" s="42">
        <f t="shared" si="4"/>
        <v>129348.063146792</v>
      </c>
    </row>
    <row r="15" spans="1:8">
      <c r="A15" s="32" t="s">
        <v>236</v>
      </c>
      <c r="B15" s="33">
        <v>0.14</v>
      </c>
      <c r="C15" s="34">
        <f t="shared" si="0"/>
        <v>172664.8</v>
      </c>
      <c r="D15" s="34">
        <f t="shared" si="1"/>
        <v>16242.5612676476</v>
      </c>
      <c r="E15" s="34">
        <f t="shared" si="2"/>
        <v>1641.45296314253</v>
      </c>
      <c r="F15" s="34">
        <f t="shared" si="3"/>
        <v>9380.56</v>
      </c>
      <c r="G15" s="34">
        <f>+Depreciacion!$G$21*'Gastos Operacionales'!B15</f>
        <v>1844.69444444444</v>
      </c>
      <c r="H15" s="42">
        <f t="shared" si="4"/>
        <v>201774.068675235</v>
      </c>
    </row>
    <row r="16" spans="1:8">
      <c r="A16" s="32" t="s">
        <v>237</v>
      </c>
      <c r="B16" s="33">
        <v>0.12</v>
      </c>
      <c r="C16" s="34">
        <f t="shared" si="0"/>
        <v>147998.4</v>
      </c>
      <c r="D16" s="34">
        <f t="shared" si="1"/>
        <v>13922.1953722693</v>
      </c>
      <c r="E16" s="34">
        <f t="shared" si="2"/>
        <v>1406.9596826936</v>
      </c>
      <c r="F16" s="34">
        <f t="shared" si="3"/>
        <v>8040.48</v>
      </c>
      <c r="G16" s="34">
        <f>+Depreciacion!$G$21*'Gastos Operacionales'!B16</f>
        <v>1581.16666666667</v>
      </c>
      <c r="H16" s="42">
        <f t="shared" si="4"/>
        <v>172949.20172163</v>
      </c>
    </row>
    <row r="17" spans="1:8">
      <c r="A17" s="32" t="s">
        <v>8</v>
      </c>
      <c r="B17" s="33">
        <v>0.16181196205302</v>
      </c>
      <c r="C17" s="34">
        <f t="shared" si="0"/>
        <v>199565.929039231</v>
      </c>
      <c r="D17" s="34">
        <f t="shared" si="1"/>
        <v>18773.1479106031</v>
      </c>
      <c r="E17" s="34">
        <f t="shared" si="2"/>
        <v>1897.19088988455</v>
      </c>
      <c r="F17" s="34">
        <f t="shared" si="3"/>
        <v>10842.0487054006</v>
      </c>
      <c r="G17" s="34">
        <f>+Depreciacion!$G$21*'Gastos Operacionales'!B17</f>
        <v>2132.09733888472</v>
      </c>
      <c r="H17" s="42">
        <f t="shared" si="4"/>
        <v>233210.413884004</v>
      </c>
    </row>
    <row r="18" spans="1:8">
      <c r="A18" s="32" t="s">
        <v>9</v>
      </c>
      <c r="B18" s="33">
        <v>0.0829804933605233</v>
      </c>
      <c r="C18" s="34">
        <f t="shared" si="0"/>
        <v>102341.502071401</v>
      </c>
      <c r="D18" s="34">
        <f t="shared" si="1"/>
        <v>9627.25533877086</v>
      </c>
      <c r="E18" s="34">
        <f t="shared" si="2"/>
        <v>972.918405069001</v>
      </c>
      <c r="F18" s="34">
        <f t="shared" si="3"/>
        <v>5560.0249771285</v>
      </c>
      <c r="G18" s="34">
        <f>+Depreciacion!$G$21*'Gastos Operacionales'!B18</f>
        <v>1093.38325071012</v>
      </c>
      <c r="H18" s="42">
        <f t="shared" si="4"/>
        <v>119595.084043079</v>
      </c>
    </row>
    <row r="19" spans="1:8">
      <c r="A19" s="32" t="s">
        <v>238</v>
      </c>
      <c r="B19" s="33">
        <v>0.06</v>
      </c>
      <c r="C19" s="34">
        <f t="shared" si="0"/>
        <v>73999.2</v>
      </c>
      <c r="D19" s="34">
        <f t="shared" si="1"/>
        <v>6961.09768613466</v>
      </c>
      <c r="E19" s="34">
        <f t="shared" si="2"/>
        <v>703.479841346799</v>
      </c>
      <c r="F19" s="34">
        <f t="shared" si="3"/>
        <v>4020.24</v>
      </c>
      <c r="G19" s="34">
        <f>+Depreciacion!$G$21*'Gastos Operacionales'!B19</f>
        <v>790.583333333333</v>
      </c>
      <c r="H19" s="42">
        <f t="shared" si="4"/>
        <v>86474.6008608148</v>
      </c>
    </row>
    <row r="20" spans="1:8">
      <c r="A20" s="32" t="s">
        <v>239</v>
      </c>
      <c r="B20" s="33">
        <v>0.06</v>
      </c>
      <c r="C20" s="34">
        <f t="shared" si="0"/>
        <v>73999.2</v>
      </c>
      <c r="D20" s="34">
        <f t="shared" si="1"/>
        <v>6961.09768613466</v>
      </c>
      <c r="E20" s="34">
        <f t="shared" si="2"/>
        <v>703.479841346799</v>
      </c>
      <c r="F20" s="34">
        <f t="shared" si="3"/>
        <v>4020.24</v>
      </c>
      <c r="G20" s="34">
        <f>+Depreciacion!$G$21*'Gastos Operacionales'!B20</f>
        <v>790.583333333333</v>
      </c>
      <c r="H20" s="42">
        <f t="shared" si="4"/>
        <v>86474.6008608148</v>
      </c>
    </row>
    <row r="21" spans="1:8">
      <c r="A21" s="32" t="s">
        <v>240</v>
      </c>
      <c r="B21" s="33">
        <v>0.0655</v>
      </c>
      <c r="C21" s="34">
        <f t="shared" si="0"/>
        <v>80782.46</v>
      </c>
      <c r="D21" s="34">
        <f t="shared" si="1"/>
        <v>7599.19830736368</v>
      </c>
      <c r="E21" s="34">
        <f t="shared" si="2"/>
        <v>767.965493470256</v>
      </c>
      <c r="F21" s="34">
        <f t="shared" si="3"/>
        <v>4388.762</v>
      </c>
      <c r="G21" s="34">
        <f>+Depreciacion!$G$21*'Gastos Operacionales'!B21</f>
        <v>863.053472222222</v>
      </c>
      <c r="H21" s="42">
        <f t="shared" si="4"/>
        <v>94401.4392730562</v>
      </c>
    </row>
    <row r="22" spans="2:8">
      <c r="B22" s="35">
        <f>SUM(B12:B21)</f>
        <v>1.00004000800762</v>
      </c>
      <c r="C22" s="36">
        <f t="shared" ref="C22:H22" si="5">SUM(C12:C20)</f>
        <v>1152586.88267595</v>
      </c>
      <c r="D22" s="36">
        <f t="shared" si="5"/>
        <v>108423.738122368</v>
      </c>
      <c r="E22" s="36">
        <f t="shared" si="5"/>
        <v>10957.1676094239</v>
      </c>
      <c r="F22" s="36">
        <f t="shared" si="5"/>
        <v>62617.9186965424</v>
      </c>
      <c r="G22" s="43">
        <f t="shared" si="5"/>
        <v>12313.8625777337</v>
      </c>
      <c r="H22" s="43">
        <f t="shared" si="5"/>
        <v>1346899.56968202</v>
      </c>
    </row>
    <row r="24" ht="24" spans="4:5">
      <c r="D24" s="37" t="s">
        <v>241</v>
      </c>
      <c r="E24" t="s">
        <v>242</v>
      </c>
    </row>
    <row r="25" spans="1:6">
      <c r="A25" s="3" t="s">
        <v>243</v>
      </c>
      <c r="B25" s="38">
        <v>63500.88</v>
      </c>
      <c r="C25" s="38"/>
      <c r="D25" s="38">
        <v>16577.3649</v>
      </c>
      <c r="E25" s="38">
        <v>71.81</v>
      </c>
      <c r="F25" s="44"/>
    </row>
    <row r="26" spans="2:6">
      <c r="B26" s="27" t="s">
        <v>244</v>
      </c>
      <c r="D26" s="26">
        <f>+C7</f>
        <v>26782866</v>
      </c>
      <c r="E26" s="29">
        <f>+D26*E25/D25</f>
        <v>116018.294768911</v>
      </c>
      <c r="F26" s="29"/>
    </row>
    <row r="29" spans="1:4">
      <c r="A29" t="s">
        <v>245</v>
      </c>
      <c r="B29" s="29">
        <v>2706643</v>
      </c>
      <c r="D29" s="29">
        <f>+B29*E25/D25</f>
        <v>11724.6640224467</v>
      </c>
    </row>
  </sheetData>
  <hyperlinks>
    <hyperlink ref="G11" location="Depreciacion!A1" display="=+A9"/>
  </hyperlinks>
  <pageMargins left="0.7" right="0.7" top="0.75" bottom="0.75" header="0.511811023622047" footer="0.511811023622047"/>
  <pageSetup paperSize="1" orientation="portrait" horizontalDpi="300" verticalDpi="300"/>
  <headerFooter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G23"/>
  <sheetViews>
    <sheetView zoomScale="95" zoomScaleNormal="95" workbookViewId="0">
      <selection activeCell="C8" sqref="C8"/>
    </sheetView>
  </sheetViews>
  <sheetFormatPr defaultColWidth="11.1428571428571" defaultRowHeight="12" outlineLevelCol="6"/>
  <cols>
    <col min="1" max="1" width="24.7142857142857" customWidth="1"/>
    <col min="3" max="4" width="13.7142857142857" customWidth="1"/>
    <col min="6" max="6" width="12.7142857142857" customWidth="1"/>
    <col min="7" max="7" width="20.2857142857143" customWidth="1"/>
  </cols>
  <sheetData>
    <row r="5" spans="1:7">
      <c r="A5" s="10" t="s">
        <v>246</v>
      </c>
      <c r="B5" s="11"/>
      <c r="C5" s="11"/>
      <c r="D5" s="11"/>
      <c r="E5" s="20"/>
      <c r="F5" s="21" t="s">
        <v>247</v>
      </c>
      <c r="G5" s="21"/>
    </row>
    <row r="6" spans="1:7">
      <c r="A6" s="12" t="s">
        <v>248</v>
      </c>
      <c r="B6" s="12" t="s">
        <v>27</v>
      </c>
      <c r="C6" s="12" t="s">
        <v>249</v>
      </c>
      <c r="D6" s="12" t="s">
        <v>18</v>
      </c>
      <c r="E6" s="12" t="s">
        <v>250</v>
      </c>
      <c r="F6" s="12" t="s">
        <v>251</v>
      </c>
      <c r="G6" s="22" t="s">
        <v>252</v>
      </c>
    </row>
    <row r="7" spans="1:7">
      <c r="A7" s="13" t="s">
        <v>253</v>
      </c>
      <c r="B7" s="13">
        <v>1</v>
      </c>
      <c r="C7" s="14">
        <v>2000</v>
      </c>
      <c r="D7" s="14">
        <f t="shared" ref="D7:D20" si="0">C7*B7</f>
        <v>2000</v>
      </c>
      <c r="E7" s="13">
        <v>10</v>
      </c>
      <c r="F7" s="14">
        <f t="shared" ref="F7:F20" si="1">C7/E7</f>
        <v>200</v>
      </c>
      <c r="G7" s="23">
        <f t="shared" ref="G7:G20" si="2">F7/12</f>
        <v>16.6666666666667</v>
      </c>
    </row>
    <row r="8" spans="1:7">
      <c r="A8" s="13" t="s">
        <v>254</v>
      </c>
      <c r="B8" s="13">
        <v>1</v>
      </c>
      <c r="C8" s="14">
        <v>75000</v>
      </c>
      <c r="D8" s="14">
        <f t="shared" si="0"/>
        <v>75000</v>
      </c>
      <c r="E8" s="13">
        <v>10</v>
      </c>
      <c r="F8" s="14">
        <f t="shared" si="1"/>
        <v>7500</v>
      </c>
      <c r="G8" s="23">
        <f t="shared" si="2"/>
        <v>625</v>
      </c>
    </row>
    <row r="9" spans="1:7">
      <c r="A9" s="13" t="s">
        <v>255</v>
      </c>
      <c r="B9" s="13">
        <v>0</v>
      </c>
      <c r="C9" s="14">
        <v>0</v>
      </c>
      <c r="D9" s="14">
        <f t="shared" si="0"/>
        <v>0</v>
      </c>
      <c r="E9" s="13">
        <v>10</v>
      </c>
      <c r="F9" s="14">
        <f t="shared" si="1"/>
        <v>0</v>
      </c>
      <c r="G9" s="23">
        <f t="shared" si="2"/>
        <v>0</v>
      </c>
    </row>
    <row r="10" spans="1:7">
      <c r="A10" s="13" t="s">
        <v>256</v>
      </c>
      <c r="B10" s="13">
        <v>1</v>
      </c>
      <c r="C10" s="14">
        <v>7500000</v>
      </c>
      <c r="D10" s="14">
        <f t="shared" si="0"/>
        <v>7500000</v>
      </c>
      <c r="E10" s="13">
        <v>10</v>
      </c>
      <c r="F10" s="14">
        <f t="shared" si="1"/>
        <v>750000</v>
      </c>
      <c r="G10" s="23">
        <f t="shared" si="2"/>
        <v>62500</v>
      </c>
    </row>
    <row r="11" spans="1:7">
      <c r="A11" s="13" t="s">
        <v>257</v>
      </c>
      <c r="B11" s="13">
        <v>1</v>
      </c>
      <c r="C11" s="14">
        <v>270000</v>
      </c>
      <c r="D11" s="14">
        <f t="shared" si="0"/>
        <v>270000</v>
      </c>
      <c r="E11" s="13">
        <v>10</v>
      </c>
      <c r="F11" s="14">
        <f t="shared" si="1"/>
        <v>27000</v>
      </c>
      <c r="G11" s="23">
        <f t="shared" si="2"/>
        <v>2250</v>
      </c>
    </row>
    <row r="12" spans="1:7">
      <c r="A12" s="13" t="s">
        <v>258</v>
      </c>
      <c r="B12" s="13">
        <v>1</v>
      </c>
      <c r="C12" s="14">
        <v>275000</v>
      </c>
      <c r="D12" s="14">
        <f t="shared" si="0"/>
        <v>275000</v>
      </c>
      <c r="E12" s="13">
        <v>5</v>
      </c>
      <c r="F12" s="14">
        <f t="shared" si="1"/>
        <v>55000</v>
      </c>
      <c r="G12" s="23">
        <f t="shared" si="2"/>
        <v>4583.33333333333</v>
      </c>
    </row>
    <row r="13" spans="1:7">
      <c r="A13" s="13" t="s">
        <v>259</v>
      </c>
      <c r="B13" s="13">
        <v>1</v>
      </c>
      <c r="C13" s="14">
        <v>20000</v>
      </c>
      <c r="D13" s="14">
        <f t="shared" si="0"/>
        <v>20000</v>
      </c>
      <c r="E13" s="13">
        <v>5</v>
      </c>
      <c r="F13" s="14">
        <f t="shared" si="1"/>
        <v>4000</v>
      </c>
      <c r="G13" s="23">
        <f t="shared" si="2"/>
        <v>333.333333333333</v>
      </c>
    </row>
    <row r="14" spans="1:7">
      <c r="A14" s="13" t="s">
        <v>260</v>
      </c>
      <c r="B14" s="13">
        <v>0</v>
      </c>
      <c r="C14" s="14">
        <v>0</v>
      </c>
      <c r="D14" s="14">
        <f t="shared" si="0"/>
        <v>0</v>
      </c>
      <c r="E14" s="13">
        <v>10</v>
      </c>
      <c r="F14" s="14">
        <f t="shared" si="1"/>
        <v>0</v>
      </c>
      <c r="G14" s="23">
        <f t="shared" si="2"/>
        <v>0</v>
      </c>
    </row>
    <row r="15" spans="1:7">
      <c r="A15" s="13" t="s">
        <v>261</v>
      </c>
      <c r="B15" s="13">
        <v>2</v>
      </c>
      <c r="C15" s="14">
        <v>50000</v>
      </c>
      <c r="D15" s="14">
        <f t="shared" si="0"/>
        <v>100000</v>
      </c>
      <c r="E15" s="13">
        <v>5</v>
      </c>
      <c r="F15" s="14">
        <f t="shared" si="1"/>
        <v>10000</v>
      </c>
      <c r="G15" s="23">
        <f t="shared" si="2"/>
        <v>833.333333333333</v>
      </c>
    </row>
    <row r="16" spans="1:7">
      <c r="A16" s="13" t="s">
        <v>262</v>
      </c>
      <c r="B16" s="13">
        <v>2</v>
      </c>
      <c r="C16" s="14">
        <v>100000</v>
      </c>
      <c r="D16" s="14">
        <f t="shared" si="0"/>
        <v>200000</v>
      </c>
      <c r="E16" s="13">
        <v>2</v>
      </c>
      <c r="F16" s="14">
        <f t="shared" si="1"/>
        <v>50000</v>
      </c>
      <c r="G16" s="23">
        <f t="shared" si="2"/>
        <v>4166.66666666667</v>
      </c>
    </row>
    <row r="17" spans="1:7">
      <c r="A17" s="13" t="s">
        <v>263</v>
      </c>
      <c r="B17" s="13">
        <v>1</v>
      </c>
      <c r="C17" s="14">
        <v>25000</v>
      </c>
      <c r="D17" s="14">
        <f t="shared" si="0"/>
        <v>25000</v>
      </c>
      <c r="E17" s="13">
        <v>2</v>
      </c>
      <c r="F17" s="14">
        <f t="shared" si="1"/>
        <v>12500</v>
      </c>
      <c r="G17" s="23">
        <f t="shared" si="2"/>
        <v>1041.66666666667</v>
      </c>
    </row>
    <row r="18" spans="1:7">
      <c r="A18" s="13" t="s">
        <v>264</v>
      </c>
      <c r="B18" s="13">
        <v>0</v>
      </c>
      <c r="C18" s="14">
        <v>0</v>
      </c>
      <c r="D18" s="14">
        <f t="shared" si="0"/>
        <v>0</v>
      </c>
      <c r="E18" s="13">
        <v>1</v>
      </c>
      <c r="F18" s="14">
        <f t="shared" si="1"/>
        <v>0</v>
      </c>
      <c r="G18" s="23">
        <f t="shared" si="2"/>
        <v>0</v>
      </c>
    </row>
    <row r="19" spans="1:7">
      <c r="A19" s="13" t="s">
        <v>265</v>
      </c>
      <c r="B19" s="13">
        <v>1</v>
      </c>
      <c r="C19" s="14">
        <v>50000</v>
      </c>
      <c r="D19" s="14">
        <f t="shared" si="0"/>
        <v>50000</v>
      </c>
      <c r="E19" s="13">
        <v>2</v>
      </c>
      <c r="F19" s="14">
        <f t="shared" si="1"/>
        <v>25000</v>
      </c>
      <c r="G19" s="23">
        <f t="shared" si="2"/>
        <v>2083.33333333333</v>
      </c>
    </row>
    <row r="20" spans="1:7">
      <c r="A20" s="13" t="s">
        <v>266</v>
      </c>
      <c r="B20" s="13">
        <v>1</v>
      </c>
      <c r="C20" s="14">
        <v>15000</v>
      </c>
      <c r="D20" s="14">
        <f t="shared" si="0"/>
        <v>15000</v>
      </c>
      <c r="E20" s="13">
        <v>2</v>
      </c>
      <c r="F20" s="14">
        <f t="shared" si="1"/>
        <v>7500</v>
      </c>
      <c r="G20" s="23">
        <f t="shared" si="2"/>
        <v>625</v>
      </c>
    </row>
    <row r="21" spans="1:7">
      <c r="A21" s="15" t="s">
        <v>18</v>
      </c>
      <c r="B21" s="16"/>
      <c r="C21" s="17"/>
      <c r="D21" s="18"/>
      <c r="E21" s="18"/>
      <c r="F21" s="24">
        <f>SUM(F7:F20)</f>
        <v>948700</v>
      </c>
      <c r="G21" s="25">
        <f>SUM(G7:G20)/6</f>
        <v>13176.3888888889</v>
      </c>
    </row>
    <row r="23" spans="1:7">
      <c r="A23" s="19" t="s">
        <v>267</v>
      </c>
      <c r="G23" s="26">
        <f>F21/4</f>
        <v>237175</v>
      </c>
    </row>
  </sheetData>
  <mergeCells count="1">
    <mergeCell ref="F5:G5"/>
  </mergeCells>
  <pageMargins left="0.7" right="0.7" top="0.75" bottom="0.75" header="0.511811023622047" footer="0.511811023622047"/>
  <pageSetup paperSize="1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zoomScale="95" zoomScaleNormal="95" workbookViewId="0">
      <selection activeCell="H44" sqref="L3:O21;H44"/>
    </sheetView>
  </sheetViews>
  <sheetFormatPr defaultColWidth="13.7142857142857" defaultRowHeight="12"/>
  <cols>
    <col min="1" max="1" width="26.8571428571429" customWidth="1"/>
  </cols>
  <sheetData>
    <row r="1" spans="1:19">
      <c r="A1" s="1" t="s">
        <v>268</v>
      </c>
      <c r="B1" s="1"/>
      <c r="C1" s="1"/>
      <c r="E1" s="6" t="s">
        <v>269</v>
      </c>
      <c r="F1" s="6"/>
      <c r="G1" s="6"/>
      <c r="I1" s="1" t="s">
        <v>270</v>
      </c>
      <c r="J1" s="1"/>
      <c r="K1" s="1"/>
      <c r="M1" s="6" t="s">
        <v>271</v>
      </c>
      <c r="N1" s="6"/>
      <c r="O1" s="6"/>
      <c r="Q1" s="1" t="s">
        <v>272</v>
      </c>
      <c r="R1" s="9"/>
      <c r="S1" s="9"/>
    </row>
    <row r="2" spans="1:19">
      <c r="A2" s="2" t="s">
        <v>273</v>
      </c>
      <c r="B2" s="3"/>
      <c r="C2" s="4">
        <f>3690/250</f>
        <v>14.76</v>
      </c>
      <c r="E2" s="7" t="s">
        <v>273</v>
      </c>
      <c r="F2" s="3"/>
      <c r="G2" s="4">
        <f>3050/250</f>
        <v>12.2</v>
      </c>
      <c r="I2" s="7" t="s">
        <v>273</v>
      </c>
      <c r="J2" s="3"/>
      <c r="K2" s="3" t="s">
        <v>274</v>
      </c>
      <c r="M2" s="7" t="s">
        <v>273</v>
      </c>
      <c r="N2" s="3"/>
      <c r="O2" s="4">
        <f>11900/1750</f>
        <v>6.8</v>
      </c>
      <c r="Q2" s="7" t="s">
        <v>273</v>
      </c>
      <c r="R2" s="3"/>
      <c r="S2" s="4">
        <f>900/200</f>
        <v>4.5</v>
      </c>
    </row>
    <row r="3" spans="1:19">
      <c r="A3" s="2" t="s">
        <v>275</v>
      </c>
      <c r="B3" s="3" t="s">
        <v>276</v>
      </c>
      <c r="C3" s="4">
        <f>6790/250</f>
        <v>27.16</v>
      </c>
      <c r="E3" s="2" t="s">
        <v>275</v>
      </c>
      <c r="F3" s="3" t="s">
        <v>276</v>
      </c>
      <c r="G3" s="4">
        <f>9190/500</f>
        <v>18.38</v>
      </c>
      <c r="I3" s="2" t="s">
        <v>275</v>
      </c>
      <c r="J3" s="3" t="s">
        <v>277</v>
      </c>
      <c r="K3" s="4">
        <f>31990/800</f>
        <v>39.9875</v>
      </c>
      <c r="M3" s="2" t="s">
        <v>275</v>
      </c>
      <c r="N3" s="3" t="s">
        <v>276</v>
      </c>
      <c r="O3" s="4">
        <f>9790/1000</f>
        <v>9.79</v>
      </c>
      <c r="Q3" s="2" t="s">
        <v>275</v>
      </c>
      <c r="R3" s="3" t="s">
        <v>276</v>
      </c>
      <c r="S3" s="4">
        <f>14590/1750</f>
        <v>8.33714285714286</v>
      </c>
    </row>
    <row r="4" spans="1:19">
      <c r="A4" s="2"/>
      <c r="B4" s="3" t="s">
        <v>278</v>
      </c>
      <c r="C4" s="4">
        <f>5190/250</f>
        <v>20.76</v>
      </c>
      <c r="E4" s="2"/>
      <c r="F4" s="3" t="s">
        <v>278</v>
      </c>
      <c r="G4" s="4">
        <f>3990/250</f>
        <v>15.96</v>
      </c>
      <c r="I4" s="2" t="s">
        <v>279</v>
      </c>
      <c r="J4" s="3" t="s">
        <v>280</v>
      </c>
      <c r="K4" s="4">
        <v>41.2</v>
      </c>
      <c r="M4" s="2"/>
      <c r="N4" s="3" t="s">
        <v>281</v>
      </c>
      <c r="O4" s="4">
        <f>2490/150</f>
        <v>16.6</v>
      </c>
      <c r="Q4" s="2"/>
      <c r="R4" s="3" t="s">
        <v>278</v>
      </c>
      <c r="S4" s="4">
        <f>9190/1000</f>
        <v>9.19</v>
      </c>
    </row>
    <row r="5" spans="1:19">
      <c r="A5" s="2"/>
      <c r="B5" s="3" t="s">
        <v>282</v>
      </c>
      <c r="C5" s="4">
        <v>20.51</v>
      </c>
      <c r="E5" s="2"/>
      <c r="F5" s="3" t="s">
        <v>283</v>
      </c>
      <c r="G5" s="4">
        <f>4490/220</f>
        <v>20.4090909090909</v>
      </c>
      <c r="I5" s="2"/>
      <c r="J5" s="3" t="s">
        <v>284</v>
      </c>
      <c r="K5" s="4">
        <v>33.88</v>
      </c>
      <c r="M5" s="2"/>
      <c r="N5" s="3" t="s">
        <v>278</v>
      </c>
      <c r="O5" s="4">
        <f>9790/1000</f>
        <v>9.79</v>
      </c>
      <c r="Q5" s="2"/>
      <c r="R5" s="3" t="s">
        <v>285</v>
      </c>
      <c r="S5" s="4">
        <f>14390/1000</f>
        <v>14.39</v>
      </c>
    </row>
    <row r="6" spans="1:19">
      <c r="A6" s="2" t="s">
        <v>279</v>
      </c>
      <c r="B6" s="3" t="s">
        <v>278</v>
      </c>
      <c r="C6" s="4">
        <v>18.44</v>
      </c>
      <c r="E6" s="2"/>
      <c r="F6" s="3" t="s">
        <v>286</v>
      </c>
      <c r="G6" s="4">
        <f>8590/500</f>
        <v>17.18</v>
      </c>
      <c r="I6" s="2"/>
      <c r="J6" s="3" t="s">
        <v>287</v>
      </c>
      <c r="K6" s="4">
        <v>55.42</v>
      </c>
      <c r="M6" s="2"/>
      <c r="N6" s="3" t="s">
        <v>288</v>
      </c>
      <c r="O6" s="4">
        <f>8790/1000</f>
        <v>8.79</v>
      </c>
      <c r="Q6" s="2"/>
      <c r="R6" s="3" t="s">
        <v>289</v>
      </c>
      <c r="S6" s="4">
        <f>22590/4000</f>
        <v>5.6475</v>
      </c>
    </row>
    <row r="7" spans="1:19">
      <c r="A7" s="2"/>
      <c r="B7" s="3" t="s">
        <v>276</v>
      </c>
      <c r="C7" s="4">
        <v>20.28</v>
      </c>
      <c r="E7" s="2" t="s">
        <v>279</v>
      </c>
      <c r="F7" s="3" t="s">
        <v>278</v>
      </c>
      <c r="G7" s="4">
        <v>18.44</v>
      </c>
      <c r="I7" s="2"/>
      <c r="J7" s="3" t="s">
        <v>290</v>
      </c>
      <c r="K7" s="4">
        <v>37.63</v>
      </c>
      <c r="M7" s="2"/>
      <c r="N7" s="3" t="s">
        <v>291</v>
      </c>
      <c r="O7" s="4">
        <f>12390/1750</f>
        <v>7.08</v>
      </c>
      <c r="Q7" s="2" t="s">
        <v>279</v>
      </c>
      <c r="R7" s="3" t="s">
        <v>276</v>
      </c>
      <c r="S7" s="4">
        <v>9.41</v>
      </c>
    </row>
    <row r="8" spans="1:19">
      <c r="A8" s="2" t="s">
        <v>292</v>
      </c>
      <c r="B8" s="3" t="s">
        <v>282</v>
      </c>
      <c r="C8" s="4">
        <v>23.11</v>
      </c>
      <c r="E8" s="2"/>
      <c r="F8" s="3" t="s">
        <v>276</v>
      </c>
      <c r="G8" s="4">
        <v>16.1</v>
      </c>
      <c r="I8" s="2" t="s">
        <v>292</v>
      </c>
      <c r="J8" s="3" t="s">
        <v>284</v>
      </c>
      <c r="K8" s="4">
        <v>47.5</v>
      </c>
      <c r="M8" s="2"/>
      <c r="N8" s="3" t="s">
        <v>293</v>
      </c>
      <c r="O8" s="4">
        <f>23590/4000</f>
        <v>5.8975</v>
      </c>
      <c r="Q8" s="2"/>
      <c r="R8" s="3" t="s">
        <v>294</v>
      </c>
      <c r="S8" s="4">
        <v>8.81</v>
      </c>
    </row>
    <row r="9" spans="1:19">
      <c r="A9" s="2"/>
      <c r="B9" s="3" t="s">
        <v>295</v>
      </c>
      <c r="C9" s="4">
        <v>27.3</v>
      </c>
      <c r="E9" s="2"/>
      <c r="F9" s="3" t="s">
        <v>283</v>
      </c>
      <c r="G9" s="4">
        <v>20.82</v>
      </c>
      <c r="I9" s="2"/>
      <c r="J9" s="3" t="s">
        <v>280</v>
      </c>
      <c r="K9" s="4">
        <v>51.25</v>
      </c>
      <c r="M9" s="2" t="s">
        <v>279</v>
      </c>
      <c r="N9" s="3" t="s">
        <v>276</v>
      </c>
      <c r="O9" s="4">
        <v>9.74</v>
      </c>
      <c r="Q9" s="2"/>
      <c r="R9" s="3" t="s">
        <v>278</v>
      </c>
      <c r="S9" s="4">
        <v>6.08</v>
      </c>
    </row>
    <row r="10" spans="1:19">
      <c r="A10" s="2"/>
      <c r="B10" s="3" t="s">
        <v>276</v>
      </c>
      <c r="C10" s="4">
        <v>30.7</v>
      </c>
      <c r="E10" s="2"/>
      <c r="F10" s="3" t="s">
        <v>296</v>
      </c>
      <c r="G10" s="4">
        <v>13.96</v>
      </c>
      <c r="I10" s="2"/>
      <c r="J10" s="3" t="s">
        <v>277</v>
      </c>
      <c r="K10" s="4">
        <v>56.04</v>
      </c>
      <c r="M10" s="2"/>
      <c r="N10" s="3" t="s">
        <v>297</v>
      </c>
      <c r="O10" s="4">
        <v>11.5</v>
      </c>
      <c r="Q10" s="2"/>
      <c r="R10" s="3" t="s">
        <v>279</v>
      </c>
      <c r="S10" s="4">
        <v>7.33</v>
      </c>
    </row>
    <row r="11" spans="1:19">
      <c r="A11" s="2"/>
      <c r="B11" s="3" t="s">
        <v>298</v>
      </c>
      <c r="C11" s="4">
        <v>28.85</v>
      </c>
      <c r="E11" s="2"/>
      <c r="F11" s="3" t="s">
        <v>299</v>
      </c>
      <c r="G11" s="4">
        <v>17.2</v>
      </c>
      <c r="M11" s="2"/>
      <c r="N11" s="3" t="s">
        <v>278</v>
      </c>
      <c r="O11" s="4">
        <v>10</v>
      </c>
      <c r="Q11" s="2" t="s">
        <v>292</v>
      </c>
      <c r="R11" s="3" t="s">
        <v>276</v>
      </c>
      <c r="S11" s="4">
        <v>10.3</v>
      </c>
    </row>
    <row r="12" spans="1:19">
      <c r="A12" s="2"/>
      <c r="B12" s="3" t="s">
        <v>278</v>
      </c>
      <c r="C12" s="4">
        <v>20.2</v>
      </c>
      <c r="E12" s="2" t="s">
        <v>292</v>
      </c>
      <c r="F12" s="3" t="s">
        <v>276</v>
      </c>
      <c r="G12" s="4">
        <v>22.73</v>
      </c>
      <c r="M12" s="2"/>
      <c r="N12" s="3" t="s">
        <v>288</v>
      </c>
      <c r="O12" s="4">
        <v>8.8</v>
      </c>
      <c r="Q12" s="2"/>
      <c r="R12" s="3" t="s">
        <v>278</v>
      </c>
      <c r="S12" s="4">
        <v>11.55</v>
      </c>
    </row>
    <row r="13" spans="5:15">
      <c r="E13" s="2"/>
      <c r="F13" s="3" t="s">
        <v>278</v>
      </c>
      <c r="G13" s="4">
        <v>19.2</v>
      </c>
      <c r="M13" s="2" t="s">
        <v>292</v>
      </c>
      <c r="N13" s="3" t="s">
        <v>278</v>
      </c>
      <c r="O13" s="4">
        <v>10.67</v>
      </c>
    </row>
    <row r="14" spans="5:15">
      <c r="E14" s="2"/>
      <c r="F14" s="3" t="s">
        <v>283</v>
      </c>
      <c r="G14" s="4">
        <v>21.82</v>
      </c>
      <c r="M14" s="2"/>
      <c r="N14" s="3" t="s">
        <v>276</v>
      </c>
      <c r="O14" s="4">
        <v>10</v>
      </c>
    </row>
    <row r="15" spans="5:15">
      <c r="E15" s="2"/>
      <c r="F15" s="3" t="s">
        <v>299</v>
      </c>
      <c r="G15" s="4">
        <v>17.4</v>
      </c>
      <c r="M15" s="2"/>
      <c r="N15" s="3" t="s">
        <v>299</v>
      </c>
      <c r="O15" s="4">
        <v>9.71</v>
      </c>
    </row>
    <row r="16" spans="5:15">
      <c r="E16" s="8"/>
      <c r="M16" s="2"/>
      <c r="N16" s="3" t="s">
        <v>288</v>
      </c>
      <c r="O16" s="4">
        <v>9.33</v>
      </c>
    </row>
    <row r="26" spans="1:1">
      <c r="A26" s="5"/>
    </row>
  </sheetData>
  <mergeCells count="18">
    <mergeCell ref="A1:C1"/>
    <mergeCell ref="E1:G1"/>
    <mergeCell ref="I1:K1"/>
    <mergeCell ref="M1:O1"/>
    <mergeCell ref="A3:A4"/>
    <mergeCell ref="A6:A7"/>
    <mergeCell ref="A8:A12"/>
    <mergeCell ref="E3:E6"/>
    <mergeCell ref="E7:E11"/>
    <mergeCell ref="E12:E15"/>
    <mergeCell ref="I4:I7"/>
    <mergeCell ref="I8:I10"/>
    <mergeCell ref="M3:M8"/>
    <mergeCell ref="M9:M12"/>
    <mergeCell ref="M13:M16"/>
    <mergeCell ref="Q3:Q6"/>
    <mergeCell ref="Q7:Q10"/>
    <mergeCell ref="Q11:Q12"/>
  </mergeCells>
  <pageMargins left="0.7875" right="0.7875" top="1.05277777777778" bottom="1.05277777777778" header="0.7875" footer="0.7875"/>
  <pageSetup paperSize="1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L4:O21;A1"/>
    </sheetView>
  </sheetViews>
  <sheetFormatPr defaultColWidth="11.7142857142857" defaultRowHeight="12"/>
  <sheetData/>
  <pageMargins left="0.7" right="0.7" top="0.75" bottom="0.75" header="0.511811023622047" footer="0.511811023622047"/>
  <pageSetup paperSize="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Resumen</vt:lpstr>
      <vt:lpstr>Adecuaciones-Inversiones</vt:lpstr>
      <vt:lpstr>arequipe 4 onz</vt:lpstr>
      <vt:lpstr>arequipe x 500 g</vt:lpstr>
      <vt:lpstr>Cinsumos</vt:lpstr>
      <vt:lpstr>Gastos Operacionales</vt:lpstr>
      <vt:lpstr>Depreciacion</vt:lpstr>
      <vt:lpstr>Precios venta competencia</vt:lpstr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Celio Pineda</dc:creator>
  <cp:lastModifiedBy>cpinedar</cp:lastModifiedBy>
  <cp:revision>101</cp:revision>
  <dcterms:created xsi:type="dcterms:W3CDTF">2018-09-16T19:53:00Z</dcterms:created>
  <dcterms:modified xsi:type="dcterms:W3CDTF">2022-11-18T11:36:58Z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0x010100259450029A20A24AB73DC1793855F59E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KSOProductBuildVer">
    <vt:lpwstr>3082-10.1.0.6757</vt:lpwstr>
  </property>
</Properties>
</file>