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0385" windowHeight="8520" tabRatio="500"/>
  </bookViews>
  <sheets>
    <sheet name="Productos" sheetId="4" r:id="rId1"/>
    <sheet name="Costos variables" sheetId="1" r:id="rId2"/>
    <sheet name="Costos indirectos" sheetId="2" r:id="rId3"/>
    <sheet name="Costo total de fabricación" sheetId="3" r:id="rId4"/>
    <sheet name="Mano de obra" sheetId="5" r:id="rId5"/>
    <sheet name="Punto de equilibrio" sheetId="6" r:id="rId6"/>
    <sheet name="Equipos y materiales" sheetId="7" r:id="rId7"/>
    <sheet name="dOLAR HOY" sheetId="8" r:id="rId8"/>
  </sheets>
  <definedNames>
    <definedName name="_xlnm._FilterDatabase" localSheetId="4" hidden="1">'Mano de obra'!$G$3:$G$17</definedName>
    <definedName name="DatosExternos_1" localSheetId="7">'dOLAR HOY'!$A$1:$B$2</definedName>
  </definedNames>
  <calcPr calcId="144525"/>
</workbook>
</file>

<file path=xl/sharedStrings.xml><?xml version="1.0" encoding="utf-8"?>
<sst xmlns="http://schemas.openxmlformats.org/spreadsheetml/2006/main" count="248" uniqueCount="140">
  <si>
    <t>Mermelada de piña</t>
  </si>
  <si>
    <t>Mermelada de Guanábana</t>
  </si>
  <si>
    <t>DETALLE</t>
  </si>
  <si>
    <t>Cantidades</t>
  </si>
  <si>
    <t>Precio COP</t>
  </si>
  <si>
    <t>v/u</t>
  </si>
  <si>
    <t>Total COP</t>
  </si>
  <si>
    <t>Pia (kg)</t>
  </si>
  <si>
    <t>Guanbana (kg)</t>
  </si>
  <si>
    <t>Azcar (kg)</t>
  </si>
  <si>
    <t>Azucar (kg)</t>
  </si>
  <si>
    <t>Pectina (kg)</t>
  </si>
  <si>
    <t>Acido Ctrico (kg)</t>
  </si>
  <si>
    <t>Ácido Cítrico (kg)</t>
  </si>
  <si>
    <t>Benzoato de Sodio (kg)</t>
  </si>
  <si>
    <t>Frascos - Tapa 250 gr. (unid)</t>
  </si>
  <si>
    <t>Etiquetas (unid)</t>
  </si>
  <si>
    <t>Cajas (por 24unid)</t>
  </si>
  <si>
    <t>Combustible (gas)</t>
  </si>
  <si>
    <t>Sub  Total COP</t>
  </si>
  <si>
    <t>Imprevistos (2.5%)</t>
  </si>
  <si>
    <t>Imprevistos (2,5%)</t>
  </si>
  <si>
    <t>Mermelada de Mora</t>
  </si>
  <si>
    <t>Mermelada de Manzana</t>
  </si>
  <si>
    <t>Precio US $</t>
  </si>
  <si>
    <t>Mora (kg)</t>
  </si>
  <si>
    <t>Manzana (kg)</t>
  </si>
  <si>
    <t>Materia Prima e Insumos</t>
  </si>
  <si>
    <t>=</t>
  </si>
  <si>
    <t>- Mermelada de piña.</t>
  </si>
  <si>
    <t>- Mermelada de sauco.</t>
  </si>
  <si>
    <t>- Mermelada de guanbana.</t>
  </si>
  <si>
    <t>- Mermelada de manzana.</t>
  </si>
  <si>
    <t>Mano de obra</t>
  </si>
  <si>
    <t>Total costos directos (COP$)</t>
  </si>
  <si>
    <t>Costos indirectos</t>
  </si>
  <si>
    <t>Depreciación equpos</t>
  </si>
  <si>
    <t>Depreciacin mensual</t>
  </si>
  <si>
    <t>EQUIPOS Y MATERIALES</t>
  </si>
  <si>
    <t>Precio</t>
  </si>
  <si>
    <t>Cantidad</t>
  </si>
  <si>
    <t>Costo</t>
  </si>
  <si>
    <t>Vida</t>
  </si>
  <si>
    <t>Depreciación</t>
  </si>
  <si>
    <t>Limpieza y desinfeccin.</t>
  </si>
  <si>
    <t>COP$</t>
  </si>
  <si>
    <t>PESOS</t>
  </si>
  <si>
    <t>útil</t>
  </si>
  <si>
    <t>Anual</t>
  </si>
  <si>
    <t>Mens.</t>
  </si>
  <si>
    <t>Reparacin, Mantenimiento.</t>
  </si>
  <si>
    <t>Cocina Semi IndCOPtrial. (2 hornillas)</t>
  </si>
  <si>
    <t>Servicios (Luz, Agua y otros)</t>
  </si>
  <si>
    <t>Balanza. (0  50 kg)</t>
  </si>
  <si>
    <t>Balanza. ( 0  2,000 gr.)</t>
  </si>
  <si>
    <t>Total costos indirectos (COP $)</t>
  </si>
  <si>
    <t>Licuadora IndCOPtrial. (20 lt)</t>
  </si>
  <si>
    <t>Exprimidor de Citricos.</t>
  </si>
  <si>
    <t>Refractmetro. (50 - 90 Brix)</t>
  </si>
  <si>
    <t>pH metro.</t>
  </si>
  <si>
    <t>Gastos del periodo</t>
  </si>
  <si>
    <t>Termmetro.</t>
  </si>
  <si>
    <t>Sueldo de administrador.</t>
  </si>
  <si>
    <t>Mesa de Trabajo.</t>
  </si>
  <si>
    <t>Alquiler de local.</t>
  </si>
  <si>
    <t>Ollas.</t>
  </si>
  <si>
    <t>Materiales de administracin.</t>
  </si>
  <si>
    <t>Tinas Plsticas. (150 lt)</t>
  </si>
  <si>
    <t>Tablas de Picar.</t>
  </si>
  <si>
    <t>Total gastos del periodo (COP $)</t>
  </si>
  <si>
    <t>Cuchillos.</t>
  </si>
  <si>
    <t>Paletas.</t>
  </si>
  <si>
    <t>Jarras Plsticas. (2 lt)</t>
  </si>
  <si>
    <t>Costos fijos totales</t>
  </si>
  <si>
    <t>Juego de Cucharas Medidoras.</t>
  </si>
  <si>
    <t>Mano de obra directa.</t>
  </si>
  <si>
    <t>Coladores.</t>
  </si>
  <si>
    <t>Costos indirectos.</t>
  </si>
  <si>
    <t>Espumadera.</t>
  </si>
  <si>
    <t>Gastos del periodo.</t>
  </si>
  <si>
    <t>Uniformes de Trabajo</t>
  </si>
  <si>
    <t>Total Costos Fijos. (COP $)</t>
  </si>
  <si>
    <t>Equipos de Seguridad</t>
  </si>
  <si>
    <t>Utensilios de Limpieza y desinf.</t>
  </si>
  <si>
    <t>Costo total de fabricación</t>
  </si>
  <si>
    <t>Costo Unitario</t>
  </si>
  <si>
    <t>Costo de Producción</t>
  </si>
  <si>
    <t>Producción Mensual</t>
  </si>
  <si>
    <t>Costos directos</t>
  </si>
  <si>
    <t>Total cost. de fabric. ($)</t>
  </si>
  <si>
    <t>Elabración de mermelada</t>
  </si>
  <si>
    <t>Cantidad de fruta</t>
  </si>
  <si>
    <t>Para este volumen de produccin se requiere la partici-pacin de 6 personas:</t>
  </si>
  <si>
    <t>Etapa</t>
  </si>
  <si>
    <t>Variable</t>
  </si>
  <si>
    <t>tiempo</t>
  </si>
  <si>
    <t>Etapa 1: Recepción y Pesaje de la Materia Prima</t>
  </si>
  <si>
    <t>Peso</t>
  </si>
  <si>
    <t>Calculemos la remuneración mensual que percibirán, considerando 20 das de trabajo mensual.</t>
  </si>
  <si>
    <t>Etapa 2: Lavado de la Materia Prima</t>
  </si>
  <si>
    <t>Etapa 3: Pelado</t>
  </si>
  <si>
    <t>Trabajador</t>
  </si>
  <si>
    <t>Salario US $</t>
  </si>
  <si>
    <t>Etapa 4: Trozado de acuerdo a las normas comunes para el producto</t>
  </si>
  <si>
    <t>Unitario</t>
  </si>
  <si>
    <t>Total</t>
  </si>
  <si>
    <t>Etapa 5: Pesado y Formulación</t>
  </si>
  <si>
    <t>Jefe de Produccin</t>
  </si>
  <si>
    <t>Etapa 6: Maceración</t>
  </si>
  <si>
    <t>Ayudantes</t>
  </si>
  <si>
    <t>Etapa 7: Medición de los grados Brix</t>
  </si>
  <si>
    <t>Total  $</t>
  </si>
  <si>
    <t>Etapa 8: preparado de la verdura</t>
  </si>
  <si>
    <t>Etapa 9: Concentración</t>
  </si>
  <si>
    <t>Etapa 10: Envasado</t>
  </si>
  <si>
    <t>Etapa 10: Etiquetado</t>
  </si>
  <si>
    <t>Etapa 10: Embalaje</t>
  </si>
  <si>
    <t>Total tiempo min</t>
  </si>
  <si>
    <t>Horas hombre</t>
  </si>
  <si>
    <t>Punto de Equilibrio</t>
  </si>
  <si>
    <t>Costo Fijo</t>
  </si>
  <si>
    <t>(Precio de Venta - Costo Variable Unitario)</t>
  </si>
  <si>
    <t>Costo Variable Unitario</t>
  </si>
  <si>
    <t>Costo Variable Total</t>
  </si>
  <si>
    <t>Produccin Mensual</t>
  </si>
  <si>
    <t>Precio de venta</t>
  </si>
  <si>
    <t>Punto de Equilibrio (Unidades)</t>
  </si>
  <si>
    <t>Cant.</t>
  </si>
  <si>
    <t>US$</t>
  </si>
  <si>
    <t>US $</t>
  </si>
  <si>
    <t>Cocina Semi Industrial. (2 hornillas)</t>
  </si>
  <si>
    <t>75.00</t>
  </si>
  <si>
    <t>Licuadora Industrial. (20 lt)</t>
  </si>
  <si>
    <t>Uniformes de Trabajo (mandil, guant., etc)</t>
  </si>
  <si>
    <t>Equipos de Seguridad (extin., mang., etc)</t>
  </si>
  <si>
    <t>Utensilios de Limpieza y Desinfeccin.</t>
  </si>
  <si>
    <t>TOTAL US$</t>
  </si>
  <si>
    <t>US Dollar▲</t>
  </si>
  <si>
    <t>1.00 USD▲▼</t>
  </si>
  <si>
    <t>Colombian Peso</t>
  </si>
</sst>
</file>

<file path=xl/styles.xml><?xml version="1.0" encoding="utf-8"?>
<styleSheet xmlns="http://schemas.openxmlformats.org/spreadsheetml/2006/main">
  <numFmts count="5">
    <numFmt numFmtId="42" formatCode="_-&quot;£&quot;* #,##0_-;\-&quot;£&quot;* #,##0_-;_-&quot;£&quot;* &quot;-&quot;_-;_-@_-"/>
    <numFmt numFmtId="176" formatCode="&quot;$ &quot;#,##0.00"/>
    <numFmt numFmtId="41" formatCode="_-* #,##0_-;\-* #,##0_-;_-* &quot;-&quot;_-;_-@_-"/>
    <numFmt numFmtId="177" formatCode="_-&quot;$ &quot;* #,##0.00_-;&quot;-$ &quot;* #,##0.00_-;_-&quot;$ &quot;* \-??_-;_-@_-"/>
    <numFmt numFmtId="43" formatCode="_-* #,##0.00_-;\-* #,##0.00_-;_-* &quot;-&quot;??_-;_-@_-"/>
  </numFmts>
  <fonts count="80">
    <font>
      <sz val="10"/>
      <name val="Arial"/>
      <charset val="1"/>
    </font>
    <font>
      <b/>
      <sz val="9"/>
      <color rgb="FF292526"/>
      <name val="Arial"/>
      <charset val="1"/>
    </font>
    <font>
      <b/>
      <sz val="8"/>
      <color rgb="FF292526"/>
      <name val="Arial"/>
      <charset val="1"/>
    </font>
    <font>
      <sz val="7.5"/>
      <name val="Times New Roman"/>
      <charset val="1"/>
    </font>
    <font>
      <sz val="11"/>
      <color rgb="FF292526"/>
      <name val="Arial"/>
      <charset val="1"/>
    </font>
    <font>
      <sz val="6.5"/>
      <name val="Times New Roman"/>
      <charset val="1"/>
    </font>
    <font>
      <sz val="12"/>
      <name val="Times New Roman"/>
      <charset val="1"/>
    </font>
    <font>
      <b/>
      <sz val="11"/>
      <color rgb="FF292526"/>
      <name val="Arial"/>
      <charset val="1"/>
    </font>
    <font>
      <sz val="4"/>
      <name val="Times New Roman"/>
      <charset val="1"/>
    </font>
    <font>
      <b/>
      <sz val="12.5"/>
      <color rgb="FF292526"/>
      <name val="Arial"/>
      <charset val="1"/>
    </font>
    <font>
      <b/>
      <sz val="12"/>
      <color rgb="FF292526"/>
      <name val="Arial"/>
      <charset val="1"/>
    </font>
    <font>
      <b/>
      <sz val="9"/>
      <color rgb="FF292526"/>
      <name val="Times New Roman"/>
      <charset val="1"/>
    </font>
    <font>
      <sz val="9"/>
      <name val="Times New Roman"/>
      <charset val="1"/>
    </font>
    <font>
      <b/>
      <sz val="12"/>
      <name val="Arial"/>
      <charset val="1"/>
    </font>
    <font>
      <sz val="6"/>
      <name val="Times New Roman"/>
      <charset val="1"/>
    </font>
    <font>
      <b/>
      <sz val="11"/>
      <name val="Arial"/>
      <charset val="1"/>
    </font>
    <font>
      <b/>
      <sz val="15"/>
      <name val="Arial"/>
      <charset val="1"/>
    </font>
    <font>
      <b/>
      <sz val="14"/>
      <color rgb="FF292526"/>
      <name val="Arial"/>
      <charset val="1"/>
    </font>
    <font>
      <b/>
      <sz val="14"/>
      <color rgb="FF292526"/>
      <name val="Times New Roman"/>
      <charset val="1"/>
    </font>
    <font>
      <sz val="11"/>
      <color rgb="FF292526"/>
      <name val="Times New Roman"/>
      <charset val="1"/>
    </font>
    <font>
      <sz val="4.5"/>
      <name val="Times New Roman"/>
      <charset val="1"/>
    </font>
    <font>
      <sz val="10"/>
      <color rgb="FF292526"/>
      <name val="Arial"/>
      <charset val="1"/>
    </font>
    <font>
      <sz val="1.5"/>
      <color rgb="FF292526"/>
      <name val="Times New Roman"/>
      <charset val="1"/>
    </font>
    <font>
      <b/>
      <sz val="5"/>
      <color rgb="FF292526"/>
      <name val="Times New Roman"/>
      <charset val="1"/>
    </font>
    <font>
      <sz val="5"/>
      <name val="Times New Roman"/>
      <charset val="1"/>
    </font>
    <font>
      <b/>
      <sz val="11"/>
      <name val="Calibri"/>
      <charset val="1"/>
    </font>
    <font>
      <sz val="1.5"/>
      <name val="Times New Roman"/>
      <charset val="1"/>
    </font>
    <font>
      <b/>
      <sz val="17"/>
      <color rgb="FF292526"/>
      <name val="Arial"/>
      <charset val="1"/>
    </font>
    <font>
      <b/>
      <sz val="17"/>
      <color rgb="FF292526"/>
      <name val="Times New Roman"/>
      <charset val="1"/>
    </font>
    <font>
      <sz val="10"/>
      <name val="Times New Roman"/>
      <charset val="1"/>
    </font>
    <font>
      <sz val="7"/>
      <color rgb="FF292526"/>
      <name val="Times New Roman"/>
      <charset val="1"/>
    </font>
    <font>
      <sz val="7"/>
      <name val="Times New Roman"/>
      <charset val="1"/>
    </font>
    <font>
      <sz val="12.5"/>
      <color rgb="FF292526"/>
      <name val="Arial"/>
      <charset val="1"/>
    </font>
    <font>
      <b/>
      <sz val="16"/>
      <color rgb="FFFFFFFF"/>
      <name val="Arial"/>
      <charset val="1"/>
    </font>
    <font>
      <sz val="10"/>
      <color rgb="FFFFFFFF"/>
      <name val="Arial"/>
      <charset val="1"/>
    </font>
    <font>
      <sz val="9.5"/>
      <color rgb="FF292526"/>
      <name val="Times New Roman"/>
      <charset val="1"/>
    </font>
    <font>
      <sz val="9.5"/>
      <name val="Times New Roman"/>
      <charset val="1"/>
    </font>
    <font>
      <sz val="14"/>
      <color rgb="FFFFFFFF"/>
      <name val="Arial"/>
      <charset val="1"/>
    </font>
    <font>
      <sz val="12"/>
      <color rgb="FF292526"/>
      <name val="Arial"/>
      <charset val="1"/>
    </font>
    <font>
      <b/>
      <sz val="15"/>
      <color rgb="FFFFFFFF"/>
      <name val="Times New Roman"/>
      <charset val="1"/>
    </font>
    <font>
      <b/>
      <sz val="9"/>
      <color rgb="FFFFFFFF"/>
      <name val="Arial"/>
      <charset val="1"/>
    </font>
    <font>
      <sz val="3"/>
      <name val="Times New Roman"/>
      <charset val="1"/>
    </font>
    <font>
      <sz val="9"/>
      <color rgb="FF292526"/>
      <name val="Arial"/>
      <charset val="1"/>
    </font>
    <font>
      <sz val="11.5"/>
      <name val="Times New Roman"/>
      <charset val="1"/>
    </font>
    <font>
      <sz val="10.5"/>
      <color rgb="FF292526"/>
      <name val="Arial"/>
      <charset val="1"/>
    </font>
    <font>
      <sz val="14"/>
      <name val="Arial"/>
      <charset val="1"/>
    </font>
    <font>
      <b/>
      <sz val="10"/>
      <color rgb="FF292526"/>
      <name val="Arial"/>
      <charset val="1"/>
    </font>
    <font>
      <sz val="8.5"/>
      <color rgb="FF292526"/>
      <name val="Times New Roman"/>
      <charset val="1"/>
    </font>
    <font>
      <sz val="8.5"/>
      <name val="Times New Roman"/>
      <charset val="1"/>
    </font>
    <font>
      <b/>
      <sz val="1"/>
      <color rgb="FF292526"/>
      <name val="Times New Roman"/>
      <charset val="1"/>
    </font>
    <font>
      <sz val="1"/>
      <name val="Times New Roman"/>
      <charset val="1"/>
    </font>
    <font>
      <b/>
      <sz val="1.5"/>
      <color rgb="FF292526"/>
      <name val="Times New Roman"/>
      <charset val="1"/>
    </font>
    <font>
      <b/>
      <sz val="12"/>
      <color rgb="FF292526"/>
      <name val="Times New Roman"/>
      <charset val="1"/>
    </font>
    <font>
      <sz val="3"/>
      <color rgb="FF292526"/>
      <name val="Times New Roman"/>
      <charset val="1"/>
    </font>
    <font>
      <b/>
      <sz val="13"/>
      <color rgb="FF292526"/>
      <name val="Arial"/>
      <charset val="1"/>
    </font>
    <font>
      <b/>
      <sz val="4.5"/>
      <color rgb="FF292526"/>
      <name val="Times New Roman"/>
      <charset val="1"/>
    </font>
    <font>
      <sz val="4"/>
      <color rgb="FF292526"/>
      <name val="Times New Roman"/>
      <charset val="1"/>
    </font>
    <font>
      <b/>
      <sz val="10"/>
      <color rgb="FF292526"/>
      <name val="Times New Roman"/>
      <charset val="1"/>
    </font>
    <font>
      <sz val="11"/>
      <name val="Times New Roman"/>
      <charset val="1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  <fill>
      <patternFill patternType="solid">
        <fgColor rgb="FF5983B0"/>
        <bgColor rgb="FF2E75B6"/>
      </patternFill>
    </fill>
    <fill>
      <patternFill patternType="solid">
        <fgColor rgb="FFFFFF00"/>
        <bgColor rgb="FFFFFF00"/>
      </patternFill>
    </fill>
    <fill>
      <patternFill patternType="solid">
        <fgColor rgb="FF9966FF"/>
        <bgColor rgb="FFCC99FF"/>
      </patternFill>
    </fill>
    <fill>
      <patternFill patternType="solid">
        <fgColor rgb="FFE2F0D9"/>
        <bgColor rgb="FFFFFFCC"/>
      </patternFill>
    </fill>
    <fill>
      <patternFill patternType="solid">
        <fgColor rgb="FFF8CBAD"/>
        <bgColor rgb="FFE2F0D9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4" fillId="30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2" fontId="63" fillId="0" borderId="0" applyBorder="0" applyAlignment="0" applyProtection="0"/>
    <xf numFmtId="0" fontId="60" fillId="31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73" fillId="19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177" fontId="0" fillId="0" borderId="0" applyBorder="0" applyProtection="0"/>
    <xf numFmtId="9" fontId="63" fillId="0" borderId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78" fillId="0" borderId="20" applyNumberFormat="0" applyFill="0" applyAlignment="0" applyProtection="0">
      <alignment vertical="center"/>
    </xf>
    <xf numFmtId="0" fontId="74" fillId="22" borderId="24" applyNumberFormat="0" applyAlignment="0" applyProtection="0">
      <alignment vertical="center"/>
    </xf>
    <xf numFmtId="0" fontId="79" fillId="12" borderId="18" applyNumberFormat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12" borderId="19" applyNumberFormat="0" applyAlignment="0" applyProtection="0">
      <alignment vertical="center"/>
    </xf>
    <xf numFmtId="43" fontId="63" fillId="0" borderId="0" applyBorder="0" applyAlignment="0" applyProtection="0"/>
    <xf numFmtId="0" fontId="60" fillId="10" borderId="0" applyNumberFormat="0" applyBorder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76" fillId="26" borderId="25" applyNumberFormat="0" applyFont="0" applyAlignment="0" applyProtection="0">
      <alignment vertical="center"/>
    </xf>
    <xf numFmtId="41" fontId="63" fillId="0" borderId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</cellStyleXfs>
  <cellXfs count="194">
    <xf numFmtId="0" fontId="0" fillId="0" borderId="0" xfId="0"/>
    <xf numFmtId="0" fontId="0" fillId="0" borderId="0" xfId="0" applyFont="1"/>
    <xf numFmtId="0" fontId="0" fillId="0" borderId="0" xfId="0" applyFont="1" applyAlignment="1" applyProtection="1"/>
    <xf numFmtId="176" fontId="0" fillId="0" borderId="0" xfId="0" applyNumberFormat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2" fillId="0" borderId="4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/>
    <xf numFmtId="0" fontId="4" fillId="0" borderId="4" xfId="0" applyFont="1" applyBorder="1" applyAlignment="1" applyProtection="1">
      <alignment horizontal="right"/>
    </xf>
    <xf numFmtId="0" fontId="5" fillId="0" borderId="5" xfId="0" applyFont="1" applyBorder="1" applyAlignment="1" applyProtection="1"/>
    <xf numFmtId="0" fontId="5" fillId="0" borderId="6" xfId="0" applyFont="1" applyBorder="1" applyAlignment="1" applyProtection="1"/>
    <xf numFmtId="0" fontId="6" fillId="0" borderId="3" xfId="0" applyFont="1" applyBorder="1" applyAlignment="1" applyProtection="1"/>
    <xf numFmtId="0" fontId="7" fillId="0" borderId="4" xfId="0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/>
    <xf numFmtId="0" fontId="8" fillId="0" borderId="7" xfId="0" applyFont="1" applyBorder="1" applyAlignment="1" applyProtection="1"/>
    <xf numFmtId="0" fontId="8" fillId="0" borderId="6" xfId="0" applyFont="1" applyBorder="1" applyAlignment="1" applyProtection="1"/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/>
    <xf numFmtId="0" fontId="10" fillId="0" borderId="12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12" fillId="0" borderId="0" xfId="0" applyFont="1" applyAlignment="1" applyProtection="1"/>
    <xf numFmtId="176" fontId="13" fillId="0" borderId="12" xfId="0" applyNumberFormat="1" applyFont="1" applyBorder="1" applyAlignment="1" applyProtection="1">
      <alignment horizontal="center"/>
    </xf>
    <xf numFmtId="0" fontId="6" fillId="0" borderId="0" xfId="0" applyFont="1" applyAlignment="1" applyProtection="1"/>
    <xf numFmtId="2" fontId="13" fillId="0" borderId="11" xfId="0" applyNumberFormat="1" applyFont="1" applyBorder="1" applyAlignment="1" applyProtection="1">
      <alignment horizontal="center"/>
    </xf>
    <xf numFmtId="0" fontId="14" fillId="0" borderId="0" xfId="0" applyFont="1" applyAlignment="1" applyProtection="1"/>
    <xf numFmtId="2" fontId="13" fillId="0" borderId="0" xfId="0" applyNumberFormat="1" applyFont="1" applyAlignment="1" applyProtection="1"/>
    <xf numFmtId="0" fontId="9" fillId="0" borderId="8" xfId="0" applyFont="1" applyBorder="1" applyAlignment="1" applyProtection="1"/>
    <xf numFmtId="0" fontId="9" fillId="0" borderId="9" xfId="0" applyFont="1" applyBorder="1" applyAlignment="1" applyProtection="1">
      <alignment horizontal="right"/>
    </xf>
    <xf numFmtId="176" fontId="10" fillId="0" borderId="10" xfId="0" applyNumberFormat="1" applyFont="1" applyBorder="1" applyAlignment="1" applyProtection="1"/>
    <xf numFmtId="0" fontId="15" fillId="0" borderId="8" xfId="0" applyFont="1" applyBorder="1" applyAlignment="1" applyProtection="1"/>
    <xf numFmtId="0" fontId="15" fillId="0" borderId="9" xfId="0" applyFont="1" applyBorder="1" applyAlignment="1" applyProtection="1"/>
    <xf numFmtId="176" fontId="15" fillId="0" borderId="10" xfId="0" applyNumberFormat="1" applyFont="1" applyBorder="1" applyAlignment="1" applyProtection="1"/>
    <xf numFmtId="0" fontId="9" fillId="0" borderId="0" xfId="0" applyFont="1" applyBorder="1" applyAlignment="1" applyProtection="1">
      <alignment horizontal="center" vertical="center" wrapText="1"/>
    </xf>
    <xf numFmtId="176" fontId="16" fillId="0" borderId="13" xfId="0" applyNumberFormat="1" applyFont="1" applyBorder="1" applyAlignment="1" applyProtection="1">
      <alignment horizontal="center"/>
    </xf>
    <xf numFmtId="176" fontId="16" fillId="0" borderId="0" xfId="0" applyNumberFormat="1" applyFont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/>
    <xf numFmtId="0" fontId="18" fillId="0" borderId="0" xfId="0" applyFont="1" applyAlignment="1" applyProtection="1"/>
    <xf numFmtId="0" fontId="4" fillId="0" borderId="0" xfId="0" applyFont="1" applyAlignment="1" applyProtection="1"/>
    <xf numFmtId="0" fontId="19" fillId="0" borderId="0" xfId="0" applyFont="1" applyAlignment="1" applyProtection="1"/>
    <xf numFmtId="0" fontId="7" fillId="0" borderId="14" xfId="0" applyFont="1" applyBorder="1" applyAlignment="1" applyProtection="1"/>
    <xf numFmtId="0" fontId="7" fillId="0" borderId="14" xfId="0" applyFont="1" applyBorder="1" applyAlignment="1" applyProtection="1">
      <alignment horizontal="center"/>
    </xf>
    <xf numFmtId="0" fontId="20" fillId="0" borderId="14" xfId="0" applyFont="1" applyBorder="1" applyAlignment="1" applyProtection="1"/>
    <xf numFmtId="0" fontId="4" fillId="0" borderId="14" xfId="0" applyFont="1" applyBorder="1" applyAlignment="1" applyProtection="1"/>
    <xf numFmtId="0" fontId="4" fillId="0" borderId="14" xfId="0" applyFont="1" applyBorder="1" applyAlignment="1" applyProtection="1">
      <alignment horizontal="center"/>
    </xf>
    <xf numFmtId="177" fontId="4" fillId="0" borderId="14" xfId="25" applyFont="1" applyBorder="1" applyAlignment="1" applyProtection="1">
      <alignment horizontal="center"/>
    </xf>
    <xf numFmtId="177" fontId="4" fillId="0" borderId="14" xfId="25" applyFont="1" applyBorder="1" applyAlignment="1" applyProtection="1">
      <alignment horizontal="right"/>
    </xf>
    <xf numFmtId="0" fontId="21" fillId="0" borderId="14" xfId="0" applyFont="1" applyBorder="1" applyAlignment="1" applyProtection="1"/>
    <xf numFmtId="0" fontId="21" fillId="0" borderId="14" xfId="0" applyFont="1" applyBorder="1" applyAlignment="1" applyProtection="1">
      <alignment horizontal="center"/>
    </xf>
    <xf numFmtId="0" fontId="22" fillId="0" borderId="14" xfId="0" applyFont="1" applyBorder="1" applyAlignment="1" applyProtection="1"/>
    <xf numFmtId="177" fontId="0" fillId="0" borderId="14" xfId="25" applyFont="1" applyBorder="1" applyAlignment="1" applyProtection="1"/>
    <xf numFmtId="177" fontId="7" fillId="0" borderId="14" xfId="25" applyFont="1" applyBorder="1" applyAlignment="1" applyProtection="1">
      <alignment horizontal="right"/>
    </xf>
    <xf numFmtId="0" fontId="0" fillId="0" borderId="0" xfId="0" applyBorder="1" applyAlignment="1" applyProtection="1"/>
    <xf numFmtId="0" fontId="6" fillId="0" borderId="0" xfId="0" applyFont="1" applyBorder="1" applyAlignment="1" applyProtection="1"/>
    <xf numFmtId="0" fontId="23" fillId="0" borderId="0" xfId="0" applyFont="1" applyBorder="1" applyAlignment="1" applyProtection="1"/>
    <xf numFmtId="0" fontId="24" fillId="0" borderId="0" xfId="0" applyFont="1" applyBorder="1" applyAlignment="1" applyProtection="1"/>
    <xf numFmtId="0" fontId="25" fillId="0" borderId="14" xfId="0" applyFont="1" applyBorder="1" applyAlignment="1" applyProtection="1">
      <alignment vertical="center"/>
    </xf>
    <xf numFmtId="0" fontId="0" fillId="0" borderId="14" xfId="0" applyBorder="1" applyAlignment="1" applyProtection="1"/>
    <xf numFmtId="0" fontId="26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27" fillId="0" borderId="0" xfId="0" applyFont="1" applyAlignment="1" applyProtection="1"/>
    <xf numFmtId="0" fontId="28" fillId="0" borderId="0" xfId="0" applyFont="1" applyAlignment="1" applyProtection="1"/>
    <xf numFmtId="0" fontId="29" fillId="0" borderId="0" xfId="0" applyFont="1" applyAlignment="1" applyProtection="1"/>
    <xf numFmtId="0" fontId="4" fillId="0" borderId="0" xfId="0" applyFont="1" applyAlignment="1" applyProtection="1">
      <alignment horizontal="center"/>
    </xf>
    <xf numFmtId="177" fontId="4" fillId="0" borderId="0" xfId="25" applyFont="1" applyBorder="1" applyAlignment="1" applyProtection="1">
      <alignment horizontal="center"/>
    </xf>
    <xf numFmtId="177" fontId="4" fillId="0" borderId="0" xfId="25" applyFont="1" applyBorder="1" applyAlignment="1" applyProtection="1"/>
    <xf numFmtId="0" fontId="30" fillId="0" borderId="7" xfId="0" applyFont="1" applyBorder="1" applyAlignment="1" applyProtection="1"/>
    <xf numFmtId="0" fontId="31" fillId="0" borderId="7" xfId="0" applyFont="1" applyBorder="1" applyAlignment="1" applyProtection="1">
      <alignment horizontal="center"/>
    </xf>
    <xf numFmtId="177" fontId="31" fillId="0" borderId="7" xfId="25" applyFont="1" applyBorder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177" fontId="9" fillId="0" borderId="0" xfId="25" applyFont="1" applyBorder="1" applyAlignment="1" applyProtection="1"/>
    <xf numFmtId="0" fontId="9" fillId="0" borderId="7" xfId="0" applyFont="1" applyBorder="1" applyAlignment="1" applyProtection="1">
      <alignment horizontal="center"/>
    </xf>
    <xf numFmtId="0" fontId="11" fillId="0" borderId="0" xfId="0" applyFont="1" applyAlignment="1" applyProtection="1"/>
    <xf numFmtId="177" fontId="9" fillId="0" borderId="7" xfId="25" applyFont="1" applyBorder="1" applyAlignment="1" applyProtection="1"/>
    <xf numFmtId="0" fontId="32" fillId="0" borderId="0" xfId="0" applyFont="1" applyAlignment="1" applyProtection="1">
      <alignment horizontal="right"/>
    </xf>
    <xf numFmtId="0" fontId="0" fillId="0" borderId="0" xfId="0" applyAlignment="1" applyProtection="1"/>
    <xf numFmtId="0" fontId="33" fillId="3" borderId="0" xfId="0" applyFont="1" applyFill="1" applyAlignment="1" applyProtection="1"/>
    <xf numFmtId="0" fontId="34" fillId="3" borderId="0" xfId="0" applyFont="1" applyFill="1" applyAlignment="1" applyProtection="1">
      <alignment horizontal="center"/>
    </xf>
    <xf numFmtId="0" fontId="34" fillId="3" borderId="0" xfId="0" applyFont="1" applyFill="1" applyAlignment="1" applyProtection="1"/>
    <xf numFmtId="0" fontId="35" fillId="0" borderId="7" xfId="0" applyFont="1" applyBorder="1" applyAlignment="1" applyProtection="1"/>
    <xf numFmtId="0" fontId="36" fillId="0" borderId="7" xfId="0" applyFont="1" applyBorder="1" applyAlignment="1" applyProtection="1">
      <alignment horizontal="center"/>
    </xf>
    <xf numFmtId="177" fontId="36" fillId="0" borderId="7" xfId="25" applyFont="1" applyBorder="1" applyAlignment="1" applyProtection="1"/>
    <xf numFmtId="0" fontId="37" fillId="3" borderId="0" xfId="0" applyFont="1" applyFill="1" applyAlignment="1" applyProtection="1"/>
    <xf numFmtId="0" fontId="4" fillId="0" borderId="0" xfId="0" applyFont="1" applyAlignment="1" applyProtection="1">
      <alignment horizontal="right"/>
    </xf>
    <xf numFmtId="177" fontId="38" fillId="0" borderId="0" xfId="25" applyFont="1" applyBorder="1" applyAlignment="1" applyProtection="1"/>
    <xf numFmtId="0" fontId="3" fillId="0" borderId="7" xfId="0" applyFont="1" applyBorder="1" applyAlignment="1" applyProtection="1"/>
    <xf numFmtId="0" fontId="6" fillId="0" borderId="7" xfId="0" applyFont="1" applyBorder="1" applyAlignment="1" applyProtection="1"/>
    <xf numFmtId="177" fontId="13" fillId="0" borderId="0" xfId="25" applyFont="1" applyBorder="1" applyAlignment="1" applyProtection="1"/>
    <xf numFmtId="0" fontId="39" fillId="3" borderId="0" xfId="0" applyFont="1" applyFill="1" applyAlignment="1" applyProtection="1"/>
    <xf numFmtId="0" fontId="40" fillId="3" borderId="14" xfId="0" applyFont="1" applyFill="1" applyBorder="1" applyAlignment="1" applyProtection="1"/>
    <xf numFmtId="0" fontId="40" fillId="3" borderId="14" xfId="0" applyFont="1" applyFill="1" applyBorder="1" applyAlignment="1" applyProtection="1">
      <alignment horizontal="right"/>
    </xf>
    <xf numFmtId="0" fontId="34" fillId="3" borderId="14" xfId="0" applyFont="1" applyFill="1" applyBorder="1" applyAlignment="1" applyProtection="1">
      <alignment horizontal="center"/>
    </xf>
    <xf numFmtId="0" fontId="41" fillId="0" borderId="14" xfId="0" applyFont="1" applyBorder="1" applyAlignment="1" applyProtection="1"/>
    <xf numFmtId="0" fontId="1" fillId="0" borderId="14" xfId="0" applyFont="1" applyBorder="1" applyAlignment="1" applyProtection="1">
      <alignment horizontal="right"/>
    </xf>
    <xf numFmtId="0" fontId="0" fillId="0" borderId="14" xfId="0" applyBorder="1" applyAlignment="1" applyProtection="1">
      <alignment horizontal="center"/>
    </xf>
    <xf numFmtId="0" fontId="42" fillId="0" borderId="14" xfId="0" applyFont="1" applyBorder="1" applyAlignment="1" applyProtection="1"/>
    <xf numFmtId="0" fontId="42" fillId="0" borderId="14" xfId="0" applyFont="1" applyBorder="1" applyAlignment="1" applyProtection="1">
      <alignment horizontal="right"/>
    </xf>
    <xf numFmtId="176" fontId="42" fillId="0" borderId="14" xfId="0" applyNumberFormat="1" applyFont="1" applyBorder="1" applyAlignment="1" applyProtection="1">
      <alignment horizontal="right"/>
    </xf>
    <xf numFmtId="0" fontId="42" fillId="0" borderId="15" xfId="0" applyFont="1" applyBorder="1" applyAlignment="1" applyProtection="1"/>
    <xf numFmtId="0" fontId="42" fillId="0" borderId="15" xfId="0" applyFont="1" applyBorder="1" applyAlignment="1" applyProtection="1">
      <alignment horizontal="right"/>
    </xf>
    <xf numFmtId="176" fontId="42" fillId="0" borderId="15" xfId="0" applyNumberFormat="1" applyFont="1" applyBorder="1" applyAlignment="1" applyProtection="1">
      <alignment horizontal="right"/>
    </xf>
    <xf numFmtId="0" fontId="0" fillId="0" borderId="15" xfId="0" applyBorder="1" applyAlignment="1" applyProtection="1">
      <alignment horizontal="center"/>
    </xf>
    <xf numFmtId="0" fontId="43" fillId="0" borderId="8" xfId="0" applyFont="1" applyBorder="1" applyAlignment="1" applyProtection="1"/>
    <xf numFmtId="0" fontId="43" fillId="0" borderId="9" xfId="0" applyFont="1" applyBorder="1" applyAlignment="1" applyProtection="1"/>
    <xf numFmtId="0" fontId="43" fillId="0" borderId="9" xfId="0" applyFont="1" applyBorder="1" applyAlignment="1" applyProtection="1">
      <alignment horizontal="center"/>
    </xf>
    <xf numFmtId="0" fontId="40" fillId="3" borderId="14" xfId="0" applyFont="1" applyFill="1" applyBorder="1" applyAlignment="1" applyProtection="1">
      <alignment horizontal="center"/>
    </xf>
    <xf numFmtId="0" fontId="40" fillId="3" borderId="14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176" fontId="0" fillId="0" borderId="14" xfId="0" applyNumberFormat="1" applyBorder="1" applyAlignment="1" applyProtection="1"/>
    <xf numFmtId="0" fontId="0" fillId="0" borderId="15" xfId="0" applyBorder="1" applyAlignment="1" applyProtection="1"/>
    <xf numFmtId="176" fontId="0" fillId="0" borderId="15" xfId="0" applyNumberFormat="1" applyBorder="1" applyAlignment="1" applyProtection="1"/>
    <xf numFmtId="0" fontId="43" fillId="0" borderId="16" xfId="0" applyFont="1" applyBorder="1" applyAlignment="1" applyProtection="1"/>
    <xf numFmtId="177" fontId="0" fillId="0" borderId="9" xfId="25" applyFont="1" applyBorder="1" applyAlignment="1" applyProtection="1"/>
    <xf numFmtId="2" fontId="42" fillId="0" borderId="14" xfId="0" applyNumberFormat="1" applyFont="1" applyBorder="1" applyAlignment="1" applyProtection="1">
      <alignment horizontal="right"/>
    </xf>
    <xf numFmtId="2" fontId="42" fillId="0" borderId="15" xfId="0" applyNumberFormat="1" applyFont="1" applyBorder="1" applyAlignment="1" applyProtection="1">
      <alignment horizontal="right"/>
    </xf>
    <xf numFmtId="2" fontId="0" fillId="0" borderId="10" xfId="25" applyNumberFormat="1" applyFont="1" applyBorder="1" applyAlignme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177" fontId="10" fillId="0" borderId="0" xfId="25" applyFont="1" applyBorder="1" applyAlignment="1" applyProtection="1"/>
    <xf numFmtId="0" fontId="44" fillId="0" borderId="0" xfId="0" applyFont="1" applyAlignment="1" applyProtection="1"/>
    <xf numFmtId="0" fontId="44" fillId="0" borderId="0" xfId="0" applyFont="1" applyAlignment="1" applyProtection="1">
      <alignment horizontal="center"/>
    </xf>
    <xf numFmtId="177" fontId="44" fillId="0" borderId="0" xfId="25" applyFont="1" applyBorder="1" applyAlignment="1" applyProtection="1"/>
    <xf numFmtId="0" fontId="24" fillId="0" borderId="7" xfId="0" applyFont="1" applyBorder="1" applyAlignment="1" applyProtection="1"/>
    <xf numFmtId="177" fontId="24" fillId="0" borderId="7" xfId="25" applyFont="1" applyBorder="1" applyAlignment="1" applyProtection="1"/>
    <xf numFmtId="0" fontId="45" fillId="0" borderId="0" xfId="0" applyFont="1" applyAlignment="1" applyProtection="1"/>
    <xf numFmtId="0" fontId="17" fillId="0" borderId="1" xfId="0" applyFont="1" applyBorder="1" applyAlignment="1" applyProtection="1"/>
    <xf numFmtId="0" fontId="17" fillId="0" borderId="2" xfId="0" applyFont="1" applyBorder="1" applyAlignment="1" applyProtection="1"/>
    <xf numFmtId="0" fontId="17" fillId="0" borderId="2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46" fillId="4" borderId="1" xfId="0" applyFont="1" applyFill="1" applyBorder="1" applyAlignment="1" applyProtection="1"/>
    <xf numFmtId="0" fontId="46" fillId="4" borderId="2" xfId="0" applyFont="1" applyFill="1" applyBorder="1" applyAlignment="1" applyProtection="1"/>
    <xf numFmtId="0" fontId="46" fillId="4" borderId="2" xfId="0" applyFont="1" applyFill="1" applyBorder="1" applyAlignment="1" applyProtection="1">
      <alignment horizontal="right"/>
    </xf>
    <xf numFmtId="177" fontId="4" fillId="0" borderId="4" xfId="25" applyFont="1" applyBorder="1" applyAlignment="1" applyProtection="1">
      <alignment horizontal="right"/>
    </xf>
    <xf numFmtId="0" fontId="47" fillId="0" borderId="5" xfId="0" applyFont="1" applyBorder="1" applyAlignment="1" applyProtection="1"/>
    <xf numFmtId="0" fontId="48" fillId="0" borderId="6" xfId="0" applyFont="1" applyBorder="1" applyAlignment="1" applyProtection="1"/>
    <xf numFmtId="177" fontId="48" fillId="0" borderId="0" xfId="25" applyFont="1" applyBorder="1" applyAlignment="1" applyProtection="1"/>
    <xf numFmtId="0" fontId="7" fillId="0" borderId="4" xfId="0" applyFont="1" applyBorder="1" applyAlignment="1" applyProtection="1"/>
    <xf numFmtId="177" fontId="7" fillId="0" borderId="4" xfId="25" applyFont="1" applyBorder="1" applyAlignment="1" applyProtection="1"/>
    <xf numFmtId="0" fontId="49" fillId="0" borderId="3" xfId="0" applyFont="1" applyBorder="1" applyAlignment="1" applyProtection="1"/>
    <xf numFmtId="0" fontId="50" fillId="0" borderId="6" xfId="0" applyFont="1" applyBorder="1" applyAlignment="1" applyProtection="1"/>
    <xf numFmtId="177" fontId="50" fillId="0" borderId="6" xfId="25" applyFont="1" applyBorder="1" applyAlignment="1" applyProtection="1"/>
    <xf numFmtId="0" fontId="51" fillId="0" borderId="3" xfId="0" applyFont="1" applyBorder="1" applyAlignment="1" applyProtection="1"/>
    <xf numFmtId="0" fontId="26" fillId="0" borderId="7" xfId="0" applyFont="1" applyBorder="1" applyAlignment="1" applyProtection="1"/>
    <xf numFmtId="0" fontId="26" fillId="0" borderId="6" xfId="0" applyFont="1" applyBorder="1" applyAlignment="1" applyProtection="1"/>
    <xf numFmtId="177" fontId="26" fillId="0" borderId="6" xfId="25" applyFont="1" applyBorder="1" applyAlignment="1" applyProtection="1"/>
    <xf numFmtId="0" fontId="7" fillId="0" borderId="0" xfId="0" applyFont="1" applyAlignment="1" applyProtection="1"/>
    <xf numFmtId="0" fontId="52" fillId="0" borderId="4" xfId="0" applyFont="1" applyBorder="1" applyAlignment="1" applyProtection="1"/>
    <xf numFmtId="177" fontId="52" fillId="0" borderId="4" xfId="25" applyFont="1" applyBorder="1" applyAlignment="1" applyProtection="1"/>
    <xf numFmtId="0" fontId="7" fillId="0" borderId="17" xfId="0" applyFont="1" applyBorder="1" applyAlignment="1" applyProtection="1"/>
    <xf numFmtId="0" fontId="52" fillId="0" borderId="17" xfId="0" applyFont="1" applyBorder="1" applyAlignment="1" applyProtection="1"/>
    <xf numFmtId="0" fontId="6" fillId="0" borderId="17" xfId="0" applyFont="1" applyBorder="1" applyAlignment="1" applyProtection="1"/>
    <xf numFmtId="0" fontId="46" fillId="5" borderId="3" xfId="0" applyFont="1" applyFill="1" applyBorder="1" applyAlignment="1" applyProtection="1"/>
    <xf numFmtId="0" fontId="46" fillId="5" borderId="4" xfId="0" applyFont="1" applyFill="1" applyBorder="1" applyAlignment="1" applyProtection="1"/>
    <xf numFmtId="0" fontId="46" fillId="5" borderId="2" xfId="0" applyFont="1" applyFill="1" applyBorder="1" applyAlignment="1" applyProtection="1">
      <alignment horizontal="right"/>
    </xf>
    <xf numFmtId="0" fontId="53" fillId="0" borderId="5" xfId="0" applyFont="1" applyBorder="1" applyAlignment="1" applyProtection="1"/>
    <xf numFmtId="0" fontId="41" fillId="0" borderId="6" xfId="0" applyFont="1" applyBorder="1" applyAlignment="1" applyProtection="1"/>
    <xf numFmtId="177" fontId="41" fillId="0" borderId="6" xfId="25" applyFont="1" applyBorder="1" applyAlignment="1" applyProtection="1"/>
    <xf numFmtId="0" fontId="6" fillId="0" borderId="4" xfId="0" applyFont="1" applyBorder="1" applyAlignment="1" applyProtection="1"/>
    <xf numFmtId="177" fontId="0" fillId="0" borderId="0" xfId="25" applyFont="1" applyBorder="1" applyAlignment="1" applyProtection="1"/>
    <xf numFmtId="0" fontId="49" fillId="0" borderId="4" xfId="0" applyFont="1" applyBorder="1" applyAlignment="1" applyProtection="1"/>
    <xf numFmtId="0" fontId="50" fillId="0" borderId="7" xfId="0" applyFont="1" applyBorder="1" applyAlignment="1" applyProtection="1"/>
    <xf numFmtId="177" fontId="50" fillId="0" borderId="7" xfId="25" applyFont="1" applyBorder="1" applyAlignment="1" applyProtection="1"/>
    <xf numFmtId="0" fontId="51" fillId="0" borderId="4" xfId="0" applyFont="1" applyBorder="1" applyAlignment="1" applyProtection="1"/>
    <xf numFmtId="177" fontId="26" fillId="0" borderId="7" xfId="25" applyFont="1" applyBorder="1" applyAlignment="1" applyProtection="1"/>
    <xf numFmtId="0" fontId="54" fillId="0" borderId="4" xfId="0" applyFont="1" applyBorder="1" applyAlignment="1" applyProtection="1"/>
    <xf numFmtId="0" fontId="7" fillId="0" borderId="0" xfId="0" applyFont="1" applyBorder="1" applyAlignment="1" applyProtection="1"/>
    <xf numFmtId="177" fontId="7" fillId="0" borderId="0" xfId="25" applyFont="1" applyBorder="1" applyAlignment="1" applyProtection="1"/>
    <xf numFmtId="0" fontId="55" fillId="0" borderId="4" xfId="0" applyFont="1" applyBorder="1" applyAlignment="1" applyProtection="1"/>
    <xf numFmtId="0" fontId="20" fillId="0" borderId="7" xfId="0" applyFont="1" applyBorder="1" applyAlignment="1" applyProtection="1"/>
    <xf numFmtId="0" fontId="18" fillId="0" borderId="17" xfId="0" applyFont="1" applyBorder="1" applyAlignment="1" applyProtection="1"/>
    <xf numFmtId="0" fontId="46" fillId="6" borderId="1" xfId="0" applyFont="1" applyFill="1" applyBorder="1" applyAlignment="1" applyProtection="1"/>
    <xf numFmtId="0" fontId="46" fillId="6" borderId="2" xfId="0" applyFont="1" applyFill="1" applyBorder="1" applyAlignment="1" applyProtection="1">
      <alignment horizontal="right"/>
    </xf>
    <xf numFmtId="177" fontId="48" fillId="0" borderId="7" xfId="25" applyFont="1" applyBorder="1" applyAlignment="1" applyProtection="1"/>
    <xf numFmtId="0" fontId="56" fillId="0" borderId="5" xfId="0" applyFont="1" applyBorder="1" applyAlignment="1" applyProtection="1"/>
    <xf numFmtId="177" fontId="7" fillId="0" borderId="4" xfId="25" applyFont="1" applyBorder="1" applyAlignment="1" applyProtection="1">
      <alignment horizontal="right"/>
    </xf>
    <xf numFmtId="0" fontId="52" fillId="0" borderId="0" xfId="0" applyFont="1" applyAlignment="1" applyProtection="1"/>
    <xf numFmtId="0" fontId="46" fillId="5" borderId="4" xfId="0" applyFont="1" applyFill="1" applyBorder="1" applyAlignment="1" applyProtection="1">
      <alignment horizontal="right"/>
    </xf>
    <xf numFmtId="0" fontId="57" fillId="0" borderId="4" xfId="0" applyFont="1" applyBorder="1" applyAlignment="1" applyProtection="1"/>
    <xf numFmtId="0" fontId="46" fillId="7" borderId="1" xfId="0" applyFont="1" applyFill="1" applyBorder="1" applyAlignment="1" applyProtection="1"/>
    <xf numFmtId="0" fontId="46" fillId="7" borderId="2" xfId="0" applyFont="1" applyFill="1" applyBorder="1" applyAlignment="1" applyProtection="1">
      <alignment horizontal="right"/>
    </xf>
    <xf numFmtId="0" fontId="58" fillId="0" borderId="3" xfId="0" applyFont="1" applyBorder="1" applyAlignment="1" applyProtection="1"/>
    <xf numFmtId="0" fontId="20" fillId="0" borderId="6" xfId="0" applyFont="1" applyBorder="1" applyAlignment="1" applyProtection="1"/>
    <xf numFmtId="0" fontId="46" fillId="6" borderId="2" xfId="0" applyFont="1" applyFill="1" applyBorder="1" applyAlignment="1" applyProtection="1">
      <alignment horizontal="center"/>
    </xf>
    <xf numFmtId="177" fontId="50" fillId="0" borderId="0" xfId="25" applyFont="1" applyBorder="1" applyAlignment="1" applyProtection="1"/>
    <xf numFmtId="177" fontId="8" fillId="0" borderId="6" xfId="25" applyFont="1" applyBorder="1" applyAlignment="1" applyProtection="1"/>
  </cellXfs>
  <cellStyles count="49">
    <cellStyle name="Normal" xfId="0" builtinId="0"/>
    <cellStyle name="60% - Énfasis6" xfId="1" builtinId="52"/>
    <cellStyle name="40% - Énfasis6" xfId="2" builtinId="51"/>
    <cellStyle name="40% - Énfasis5" xfId="3" builtinId="47"/>
    <cellStyle name="20% - Énfasis5" xfId="4" builtinId="46"/>
    <cellStyle name="Énfasis5" xfId="5" builtinId="45"/>
    <cellStyle name="Hipervínculo" xfId="6" builtinId="8"/>
    <cellStyle name="40% - Énfasis4" xfId="7" builtinId="43"/>
    <cellStyle name="Moneda [0]" xfId="8" builtinId="7"/>
    <cellStyle name="20% - Énfasis4" xfId="9" builtinId="42"/>
    <cellStyle name="Énfasis4" xfId="10" builtinId="41"/>
    <cellStyle name="20% - Énfasis3" xfId="11" builtinId="38"/>
    <cellStyle name="Énfasis3" xfId="12" builtinId="37"/>
    <cellStyle name="20% - Énfasis2" xfId="13" builtinId="34"/>
    <cellStyle name="20% - Énfasis1" xfId="14" builtinId="30"/>
    <cellStyle name="60% - Énfasis4" xfId="15" builtinId="44"/>
    <cellStyle name="Énfasis1" xfId="16" builtinId="29"/>
    <cellStyle name="Énfasis6" xfId="17" builtinId="49"/>
    <cellStyle name="40% - Énfasis1" xfId="18" builtinId="31"/>
    <cellStyle name="Incorrecto" xfId="19" builtinId="27"/>
    <cellStyle name="60% - Énfasis5" xfId="20" builtinId="48"/>
    <cellStyle name="Énfasis2" xfId="21" builtinId="33"/>
    <cellStyle name="Correcto" xfId="22" builtinId="26"/>
    <cellStyle name="Total" xfId="23" builtinId="25"/>
    <cellStyle name="Celda vinculada" xfId="24" builtinId="24"/>
    <cellStyle name="Moneda" xfId="25" builtinId="4"/>
    <cellStyle name="Porcentaje" xfId="26" builtinId="5"/>
    <cellStyle name="Texto explicativo" xfId="27" builtinId="53"/>
    <cellStyle name="Título 1" xfId="28" builtinId="16"/>
    <cellStyle name="Celda de comprobación" xfId="29" builtinId="23"/>
    <cellStyle name="Cálculo" xfId="30" builtinId="22"/>
    <cellStyle name="60% - Énfasis3" xfId="31" builtinId="40"/>
    <cellStyle name="Título 4" xfId="32" builtinId="19"/>
    <cellStyle name="60% - Énfasis2" xfId="33" builtinId="36"/>
    <cellStyle name="Título 3" xfId="34" builtinId="18"/>
    <cellStyle name="60% - Énfasis1" xfId="35" builtinId="32"/>
    <cellStyle name="Título 2" xfId="36" builtinId="17"/>
    <cellStyle name="Neutro" xfId="37" builtinId="28"/>
    <cellStyle name="Título" xfId="38" builtinId="15"/>
    <cellStyle name="Salida" xfId="39" builtinId="21"/>
    <cellStyle name="Coma" xfId="40" builtinId="3"/>
    <cellStyle name="40% - Énfasis3" xfId="41" builtinId="39"/>
    <cellStyle name="Entrada" xfId="42" builtinId="20"/>
    <cellStyle name="Nota" xfId="43" builtinId="10"/>
    <cellStyle name="Coma [0]" xfId="44" builtinId="6"/>
    <cellStyle name="Hipervínculo visitado" xfId="45" builtinId="9"/>
    <cellStyle name="40% - Énfasis2" xfId="46" builtinId="35"/>
    <cellStyle name="20% - Énfasis6" xfId="47" builtinId="50"/>
    <cellStyle name="Texto de advertencia" xfId="48" builtinId="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66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2E75B6"/>
      <rgbColor rgb="0033CCCC"/>
      <rgbColor rgb="0099CC00"/>
      <rgbColor rgb="00FFCC00"/>
      <rgbColor rgb="00FF9900"/>
      <rgbColor rgb="00FF6600"/>
      <rgbColor rgb="005983B0"/>
      <rgbColor rgb="00969696"/>
      <rgbColor rgb="00203864"/>
      <rgbColor rgb="00339966"/>
      <rgbColor rgb="00003300"/>
      <rgbColor rgb="001E1E1E"/>
      <rgbColor rgb="00993300"/>
      <rgbColor rgb="00993366"/>
      <rgbColor rgb="001F4E79"/>
      <rgbColor rgb="002925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_1" displayName="Table_1" ref="A1:B2" totalsRowShown="0">
  <autoFilter ref="A1:B2"/>
  <tableColumns count="2">
    <tableColumn id="1" name="US Dollar▲"/>
    <tableColumn id="2" name="1.00 USD▲▼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G14" sqref="G14"/>
    </sheetView>
  </sheetViews>
  <sheetFormatPr defaultColWidth="11.5714285714286" defaultRowHeight="12"/>
  <cols>
    <col min="1" max="1" width="27.8571428571429" customWidth="1"/>
    <col min="3" max="3" width="10.4190476190476" hidden="1" customWidth="1"/>
    <col min="4" max="4" width="13.2857142857143" style="84" customWidth="1"/>
    <col min="5" max="5" width="16.2857142857143" customWidth="1"/>
    <col min="7" max="7" width="27.8571428571429" customWidth="1"/>
    <col min="9" max="9" width="11.5714285714286" hidden="1"/>
    <col min="10" max="10" width="13.2857142857143" style="84" customWidth="1"/>
    <col min="11" max="11" width="16.2857142857143" customWidth="1"/>
  </cols>
  <sheetData>
    <row r="1" s="133" customFormat="1" ht="16.5" spans="1:7">
      <c r="A1" s="134" t="s">
        <v>0</v>
      </c>
      <c r="B1" s="135"/>
      <c r="C1" s="136"/>
      <c r="D1" s="137"/>
      <c r="E1" s="178"/>
      <c r="G1" s="44" t="s">
        <v>1</v>
      </c>
    </row>
    <row r="2" spans="1:11">
      <c r="A2" s="138" t="s">
        <v>2</v>
      </c>
      <c r="B2" s="139" t="s">
        <v>3</v>
      </c>
      <c r="C2" s="140" t="s">
        <v>4</v>
      </c>
      <c r="D2" s="140" t="s">
        <v>5</v>
      </c>
      <c r="E2" s="140" t="s">
        <v>6</v>
      </c>
      <c r="F2" s="2"/>
      <c r="G2" s="179" t="s">
        <v>2</v>
      </c>
      <c r="H2" s="180" t="s">
        <v>3</v>
      </c>
      <c r="I2" s="180" t="s">
        <v>4</v>
      </c>
      <c r="J2" s="191" t="s">
        <v>5</v>
      </c>
      <c r="K2" s="180" t="s">
        <v>6</v>
      </c>
    </row>
    <row r="3" ht="13.5" spans="1:11">
      <c r="A3" s="11" t="s">
        <v>7</v>
      </c>
      <c r="B3" s="12">
        <v>700</v>
      </c>
      <c r="C3" s="12">
        <v>0.29</v>
      </c>
      <c r="D3" s="141">
        <f>C3*'Costos indirectos'!C$29</f>
        <v>1264.66979686</v>
      </c>
      <c r="E3" s="141">
        <f t="shared" ref="E3:E11" si="0">D3*B3</f>
        <v>885268.857802</v>
      </c>
      <c r="F3" s="12"/>
      <c r="G3" s="11" t="s">
        <v>8</v>
      </c>
      <c r="H3" s="12">
        <v>715</v>
      </c>
      <c r="I3" s="12">
        <v>0.3</v>
      </c>
      <c r="J3" s="141">
        <f>I3*'Costos indirectos'!C$29</f>
        <v>1308.2791002</v>
      </c>
      <c r="K3" s="141">
        <f t="shared" ref="K3:K11" si="1">J3*H3</f>
        <v>935419.556643</v>
      </c>
    </row>
    <row r="4" ht="13.5" spans="1:11">
      <c r="A4" s="11" t="s">
        <v>9</v>
      </c>
      <c r="B4" s="12">
        <v>455</v>
      </c>
      <c r="C4" s="12">
        <v>0.53</v>
      </c>
      <c r="D4" s="141">
        <f>C4*'Costos indirectos'!C$29</f>
        <v>2311.29307702</v>
      </c>
      <c r="E4" s="141">
        <f t="shared" si="0"/>
        <v>1051638.3500441</v>
      </c>
      <c r="F4" s="12"/>
      <c r="G4" s="11" t="s">
        <v>10</v>
      </c>
      <c r="H4" s="12">
        <v>430</v>
      </c>
      <c r="I4" s="12">
        <v>0.53</v>
      </c>
      <c r="J4" s="141">
        <f>I4*'Costos indirectos'!C$29</f>
        <v>2311.29307702</v>
      </c>
      <c r="K4" s="141">
        <f t="shared" si="1"/>
        <v>993856.0231186</v>
      </c>
    </row>
    <row r="5" ht="13.5" spans="1:11">
      <c r="A5" s="11" t="s">
        <v>11</v>
      </c>
      <c r="B5" s="12">
        <v>1</v>
      </c>
      <c r="C5" s="12">
        <v>19.92</v>
      </c>
      <c r="D5" s="141">
        <f>C5*'Costos indirectos'!C$29</f>
        <v>86869.73225328</v>
      </c>
      <c r="E5" s="141">
        <f t="shared" si="0"/>
        <v>86869.73225328</v>
      </c>
      <c r="F5" s="12"/>
      <c r="G5" s="11" t="s">
        <v>11</v>
      </c>
      <c r="H5" s="12">
        <v>0.85</v>
      </c>
      <c r="I5" s="12">
        <v>19.92</v>
      </c>
      <c r="J5" s="141">
        <f>I5*'Costos indirectos'!C$29</f>
        <v>86869.73225328</v>
      </c>
      <c r="K5" s="141">
        <f t="shared" si="1"/>
        <v>73839.272415288</v>
      </c>
    </row>
    <row r="6" ht="13.5" spans="1:11">
      <c r="A6" s="11" t="s">
        <v>12</v>
      </c>
      <c r="B6" s="12">
        <v>0.65</v>
      </c>
      <c r="C6" s="12">
        <v>2.66</v>
      </c>
      <c r="D6" s="141">
        <f>C6*'Costos indirectos'!C$29</f>
        <v>11600.07468844</v>
      </c>
      <c r="E6" s="141">
        <f t="shared" si="0"/>
        <v>7540.048547486</v>
      </c>
      <c r="F6" s="12"/>
      <c r="G6" s="11" t="s">
        <v>13</v>
      </c>
      <c r="H6" s="12">
        <v>0.6</v>
      </c>
      <c r="I6" s="12">
        <v>2.66</v>
      </c>
      <c r="J6" s="141">
        <f>I6*'Costos indirectos'!C$29</f>
        <v>11600.07468844</v>
      </c>
      <c r="K6" s="141">
        <f t="shared" si="1"/>
        <v>6960.044813064</v>
      </c>
    </row>
    <row r="7" ht="13.5" spans="1:11">
      <c r="A7" s="11" t="s">
        <v>14</v>
      </c>
      <c r="B7" s="12">
        <v>0.45</v>
      </c>
      <c r="C7" s="12">
        <v>2.38</v>
      </c>
      <c r="D7" s="141">
        <f>C7*'Costos indirectos'!C$29</f>
        <v>10379.01419492</v>
      </c>
      <c r="E7" s="141">
        <f t="shared" si="0"/>
        <v>4670.556387714</v>
      </c>
      <c r="F7" s="12"/>
      <c r="G7" s="11" t="s">
        <v>14</v>
      </c>
      <c r="H7" s="12">
        <v>0.4</v>
      </c>
      <c r="I7" s="12">
        <v>2.38</v>
      </c>
      <c r="J7" s="141">
        <f>I7*'Costos indirectos'!C$29</f>
        <v>10379.01419492</v>
      </c>
      <c r="K7" s="141">
        <f t="shared" si="1"/>
        <v>4151.605677968</v>
      </c>
    </row>
    <row r="8" ht="13.5" spans="1:11">
      <c r="A8" s="11" t="s">
        <v>15</v>
      </c>
      <c r="B8" s="12">
        <v>3000</v>
      </c>
      <c r="C8" s="12">
        <v>0.22</v>
      </c>
      <c r="D8" s="141">
        <f>C8*'Costos indirectos'!C$29</f>
        <v>959.40467348</v>
      </c>
      <c r="E8" s="141">
        <f t="shared" si="0"/>
        <v>2878214.02044</v>
      </c>
      <c r="F8" s="12"/>
      <c r="G8" s="11" t="s">
        <v>15</v>
      </c>
      <c r="H8" s="12">
        <v>3000</v>
      </c>
      <c r="I8" s="12">
        <v>0.22</v>
      </c>
      <c r="J8" s="141">
        <f>I8*'Costos indirectos'!C$29</f>
        <v>959.40467348</v>
      </c>
      <c r="K8" s="141">
        <f t="shared" si="1"/>
        <v>2878214.02044</v>
      </c>
    </row>
    <row r="9" ht="13.5" spans="1:11">
      <c r="A9" s="11" t="s">
        <v>16</v>
      </c>
      <c r="B9" s="12">
        <f>B8</f>
        <v>3000</v>
      </c>
      <c r="C9" s="12">
        <v>0.03</v>
      </c>
      <c r="D9" s="141">
        <f>C9*'Costos indirectos'!C$29</f>
        <v>130.82791002</v>
      </c>
      <c r="E9" s="141">
        <f t="shared" si="0"/>
        <v>392483.73006</v>
      </c>
      <c r="F9" s="12"/>
      <c r="G9" s="11" t="s">
        <v>16</v>
      </c>
      <c r="H9" s="12">
        <f>H8</f>
        <v>3000</v>
      </c>
      <c r="I9" s="12">
        <v>0.03</v>
      </c>
      <c r="J9" s="141">
        <f>I9*'Costos indirectos'!C$29</f>
        <v>130.82791002</v>
      </c>
      <c r="K9" s="141">
        <f t="shared" si="1"/>
        <v>392483.73006</v>
      </c>
    </row>
    <row r="10" ht="13.5" spans="1:11">
      <c r="A10" s="11" t="s">
        <v>17</v>
      </c>
      <c r="B10" s="12">
        <f>B9/24</f>
        <v>125</v>
      </c>
      <c r="C10" s="12">
        <v>0.35</v>
      </c>
      <c r="D10" s="141">
        <f>C10*'Costos indirectos'!C$29</f>
        <v>1526.3256169</v>
      </c>
      <c r="E10" s="141">
        <f t="shared" si="0"/>
        <v>190790.7021125</v>
      </c>
      <c r="F10" s="12"/>
      <c r="G10" s="11" t="s">
        <v>17</v>
      </c>
      <c r="H10" s="12">
        <f>H9/24</f>
        <v>125</v>
      </c>
      <c r="I10" s="12">
        <v>0.35</v>
      </c>
      <c r="J10" s="141">
        <f>I10*'Costos indirectos'!C$29</f>
        <v>1526.3256169</v>
      </c>
      <c r="K10" s="141">
        <f t="shared" si="1"/>
        <v>190790.7021125</v>
      </c>
    </row>
    <row r="11" ht="13.5" spans="1:11">
      <c r="A11" s="11" t="s">
        <v>18</v>
      </c>
      <c r="B11" s="12">
        <v>4</v>
      </c>
      <c r="C11" s="12">
        <v>8</v>
      </c>
      <c r="D11" s="141">
        <f>C11*'Costos indirectos'!C$29</f>
        <v>34887.442672</v>
      </c>
      <c r="E11" s="141">
        <f t="shared" si="0"/>
        <v>139549.770688</v>
      </c>
      <c r="F11" s="12"/>
      <c r="G11" s="11" t="s">
        <v>18</v>
      </c>
      <c r="H11" s="12">
        <v>4</v>
      </c>
      <c r="I11" s="12">
        <v>8</v>
      </c>
      <c r="J11" s="141">
        <f>I11*'Costos indirectos'!C$29</f>
        <v>34887.442672</v>
      </c>
      <c r="K11" s="141">
        <f t="shared" si="1"/>
        <v>139549.770688</v>
      </c>
    </row>
    <row r="12" spans="1:10">
      <c r="A12" s="142"/>
      <c r="B12" s="143"/>
      <c r="C12" s="143"/>
      <c r="D12" s="144"/>
      <c r="E12" s="181"/>
      <c r="G12" s="182"/>
      <c r="H12" s="20"/>
      <c r="J12" s="167"/>
    </row>
    <row r="13" ht="13.5" spans="1:11">
      <c r="A13" s="15"/>
      <c r="B13" s="145" t="s">
        <v>19</v>
      </c>
      <c r="C13" s="145"/>
      <c r="D13" s="146"/>
      <c r="E13" s="183">
        <f>SUM(E3:E12)</f>
        <v>5637025.76833508</v>
      </c>
      <c r="F13" s="84"/>
      <c r="G13" s="15"/>
      <c r="H13" s="145" t="s">
        <v>19</v>
      </c>
      <c r="I13" s="145"/>
      <c r="J13" s="146"/>
      <c r="K13" s="183">
        <f>SUM(K3:K12)</f>
        <v>5615264.72596842</v>
      </c>
    </row>
    <row r="14" spans="1:10">
      <c r="A14" s="147"/>
      <c r="B14" s="148"/>
      <c r="C14" s="148"/>
      <c r="D14" s="149"/>
      <c r="E14" s="149"/>
      <c r="G14" s="147"/>
      <c r="H14" s="148"/>
      <c r="I14" s="148"/>
      <c r="J14" s="192"/>
    </row>
    <row r="15" ht="13.5" spans="1:11">
      <c r="A15" s="15"/>
      <c r="B15" s="145" t="s">
        <v>20</v>
      </c>
      <c r="C15" s="145"/>
      <c r="D15" s="146"/>
      <c r="E15" s="183">
        <f>E13*2.5%</f>
        <v>140925.644208377</v>
      </c>
      <c r="G15" s="15"/>
      <c r="H15" s="145" t="s">
        <v>21</v>
      </c>
      <c r="I15" s="145"/>
      <c r="J15" s="146"/>
      <c r="K15" s="183">
        <f>K13*2.5%</f>
        <v>140381.61814921</v>
      </c>
    </row>
    <row r="16" ht="13.5" spans="1:11">
      <c r="A16" s="150"/>
      <c r="B16" s="151"/>
      <c r="C16" s="152"/>
      <c r="D16" s="153"/>
      <c r="E16" s="153"/>
      <c r="G16" s="15"/>
      <c r="H16" s="154" t="s">
        <v>6</v>
      </c>
      <c r="J16" s="167"/>
      <c r="K16" s="183">
        <f>K15+K13</f>
        <v>5755646.34411763</v>
      </c>
    </row>
    <row r="17" ht="13.5" spans="1:6">
      <c r="A17" s="15"/>
      <c r="B17" s="154" t="s">
        <v>6</v>
      </c>
      <c r="C17" s="155"/>
      <c r="D17" s="156"/>
      <c r="E17" s="183">
        <f>E15+E13</f>
        <v>5777951.41254346</v>
      </c>
      <c r="F17" s="16"/>
    </row>
    <row r="18" ht="13.5" spans="8:10">
      <c r="H18" s="184"/>
      <c r="I18" s="30"/>
      <c r="J18" s="30"/>
    </row>
    <row r="19" ht="13.5" spans="1:11">
      <c r="A19" s="157" t="s">
        <v>22</v>
      </c>
      <c r="B19" s="158"/>
      <c r="C19" s="159"/>
      <c r="D19" s="159"/>
      <c r="E19" s="159"/>
      <c r="F19" s="159"/>
      <c r="G19" s="154" t="s">
        <v>23</v>
      </c>
      <c r="H19" s="131"/>
      <c r="I19" s="131"/>
      <c r="J19" s="131"/>
      <c r="K19" s="131"/>
    </row>
    <row r="20" spans="1:11">
      <c r="A20" s="160" t="s">
        <v>2</v>
      </c>
      <c r="B20" s="161" t="s">
        <v>3</v>
      </c>
      <c r="C20" s="161" t="s">
        <v>24</v>
      </c>
      <c r="D20" s="162" t="s">
        <v>5</v>
      </c>
      <c r="E20" s="185" t="s">
        <v>6</v>
      </c>
      <c r="F20" s="186"/>
      <c r="G20" s="187" t="s">
        <v>2</v>
      </c>
      <c r="H20" s="188" t="s">
        <v>3</v>
      </c>
      <c r="I20" s="188" t="s">
        <v>4</v>
      </c>
      <c r="J20" s="188" t="s">
        <v>5</v>
      </c>
      <c r="K20" s="188" t="s">
        <v>6</v>
      </c>
    </row>
    <row r="21" ht="13.5" spans="1:12">
      <c r="A21" s="11" t="s">
        <v>25</v>
      </c>
      <c r="B21" s="92">
        <v>700</v>
      </c>
      <c r="C21" s="92">
        <v>0.29</v>
      </c>
      <c r="D21" s="141">
        <f>C21*'Costos indirectos'!C$29</f>
        <v>1264.66979686</v>
      </c>
      <c r="E21" s="141">
        <f t="shared" ref="E21:E29" si="2">D21*B21</f>
        <v>885268.857802</v>
      </c>
      <c r="F21" s="12"/>
      <c r="G21" s="11" t="s">
        <v>26</v>
      </c>
      <c r="H21" s="12">
        <v>555</v>
      </c>
      <c r="I21" s="12">
        <v>0.29</v>
      </c>
      <c r="J21" s="141">
        <f>I21*'Costos indirectos'!C$29</f>
        <v>1264.66979686</v>
      </c>
      <c r="K21" s="141">
        <f t="shared" ref="K21:K29" si="3">J21*H21</f>
        <v>701891.7372573</v>
      </c>
      <c r="L21" s="12"/>
    </row>
    <row r="22" ht="13.5" spans="1:12">
      <c r="A22" s="11" t="s">
        <v>9</v>
      </c>
      <c r="B22" s="92">
        <v>390</v>
      </c>
      <c r="C22" s="92">
        <v>0.53</v>
      </c>
      <c r="D22" s="141">
        <f>C22*'Costos indirectos'!C$29</f>
        <v>2311.29307702</v>
      </c>
      <c r="E22" s="141">
        <f t="shared" si="2"/>
        <v>901404.3000378</v>
      </c>
      <c r="F22" s="12"/>
      <c r="G22" s="11" t="s">
        <v>9</v>
      </c>
      <c r="H22" s="12">
        <v>445</v>
      </c>
      <c r="I22" s="12">
        <v>0.53</v>
      </c>
      <c r="J22" s="141">
        <f>I22*'Costos indirectos'!C$29</f>
        <v>2311.29307702</v>
      </c>
      <c r="K22" s="141">
        <f t="shared" si="3"/>
        <v>1028525.4192739</v>
      </c>
      <c r="L22" s="12"/>
    </row>
    <row r="23" ht="13.5" spans="1:12">
      <c r="A23" s="11" t="s">
        <v>11</v>
      </c>
      <c r="B23" s="92">
        <v>3</v>
      </c>
      <c r="C23" s="92">
        <v>19.92</v>
      </c>
      <c r="D23" s="141">
        <f>C23*'Costos indirectos'!C$29</f>
        <v>86869.73225328</v>
      </c>
      <c r="E23" s="141">
        <f t="shared" si="2"/>
        <v>260609.19675984</v>
      </c>
      <c r="F23" s="12"/>
      <c r="G23" s="11" t="s">
        <v>11</v>
      </c>
      <c r="H23" s="12">
        <v>0.9</v>
      </c>
      <c r="I23" s="12">
        <v>19.92</v>
      </c>
      <c r="J23" s="141">
        <f>I23*'Costos indirectos'!C$29</f>
        <v>86869.73225328</v>
      </c>
      <c r="K23" s="141">
        <f t="shared" si="3"/>
        <v>78182.759027952</v>
      </c>
      <c r="L23" s="12"/>
    </row>
    <row r="24" ht="13.5" spans="1:12">
      <c r="A24" s="11" t="s">
        <v>12</v>
      </c>
      <c r="B24" s="92">
        <v>0.95</v>
      </c>
      <c r="C24" s="92">
        <v>2.66</v>
      </c>
      <c r="D24" s="141">
        <f>C24*'Costos indirectos'!C$29</f>
        <v>11600.07468844</v>
      </c>
      <c r="E24" s="141">
        <f t="shared" si="2"/>
        <v>11020.070954018</v>
      </c>
      <c r="F24" s="12"/>
      <c r="G24" s="11" t="s">
        <v>12</v>
      </c>
      <c r="H24" s="12">
        <v>0.6</v>
      </c>
      <c r="I24" s="12">
        <v>2.66</v>
      </c>
      <c r="J24" s="141">
        <f>I24*'Costos indirectos'!C$29</f>
        <v>11600.07468844</v>
      </c>
      <c r="K24" s="141">
        <f t="shared" si="3"/>
        <v>6960.044813064</v>
      </c>
      <c r="L24" s="12"/>
    </row>
    <row r="25" ht="13.5" spans="1:12">
      <c r="A25" s="11" t="s">
        <v>14</v>
      </c>
      <c r="B25" s="92">
        <v>0.17</v>
      </c>
      <c r="C25" s="92">
        <v>2.38</v>
      </c>
      <c r="D25" s="141">
        <f>C25*'Costos indirectos'!C$29</f>
        <v>10379.01419492</v>
      </c>
      <c r="E25" s="141">
        <f t="shared" si="2"/>
        <v>1764.4324131364</v>
      </c>
      <c r="F25" s="12"/>
      <c r="G25" s="11" t="s">
        <v>14</v>
      </c>
      <c r="H25" s="12">
        <v>0.45</v>
      </c>
      <c r="I25" s="12">
        <v>2.38</v>
      </c>
      <c r="J25" s="141">
        <f>I25*'Costos indirectos'!C$29</f>
        <v>10379.01419492</v>
      </c>
      <c r="K25" s="141">
        <f t="shared" si="3"/>
        <v>4670.556387714</v>
      </c>
      <c r="L25" s="12"/>
    </row>
    <row r="26" ht="13.5" spans="1:12">
      <c r="A26" s="11" t="s">
        <v>15</v>
      </c>
      <c r="B26" s="92">
        <v>3000</v>
      </c>
      <c r="C26" s="92">
        <v>0.22</v>
      </c>
      <c r="D26" s="141">
        <f>C26*'Costos indirectos'!C$29</f>
        <v>959.40467348</v>
      </c>
      <c r="E26" s="141">
        <f t="shared" si="2"/>
        <v>2878214.02044</v>
      </c>
      <c r="F26" s="12"/>
      <c r="G26" s="11" t="s">
        <v>15</v>
      </c>
      <c r="H26" s="12">
        <v>3000</v>
      </c>
      <c r="I26" s="12">
        <v>0.22</v>
      </c>
      <c r="J26" s="141">
        <f>I26*'Costos indirectos'!C$29</f>
        <v>959.40467348</v>
      </c>
      <c r="K26" s="141">
        <f t="shared" si="3"/>
        <v>2878214.02044</v>
      </c>
      <c r="L26" s="12"/>
    </row>
    <row r="27" ht="13.5" spans="1:12">
      <c r="A27" s="11" t="s">
        <v>16</v>
      </c>
      <c r="B27" s="92">
        <v>3000</v>
      </c>
      <c r="C27" s="92">
        <v>0.03</v>
      </c>
      <c r="D27" s="141">
        <f>C27*'Costos indirectos'!C$29</f>
        <v>130.82791002</v>
      </c>
      <c r="E27" s="141">
        <f t="shared" si="2"/>
        <v>392483.73006</v>
      </c>
      <c r="F27" s="12"/>
      <c r="G27" s="11" t="s">
        <v>16</v>
      </c>
      <c r="H27" s="12">
        <f>H26</f>
        <v>3000</v>
      </c>
      <c r="I27" s="12">
        <v>0.03</v>
      </c>
      <c r="J27" s="141">
        <f>I27*'Costos indirectos'!C$29</f>
        <v>130.82791002</v>
      </c>
      <c r="K27" s="141">
        <f t="shared" si="3"/>
        <v>392483.73006</v>
      </c>
      <c r="L27" s="12"/>
    </row>
    <row r="28" ht="13.5" spans="1:12">
      <c r="A28" s="11" t="s">
        <v>17</v>
      </c>
      <c r="B28" s="12">
        <f>B27/24</f>
        <v>125</v>
      </c>
      <c r="C28" s="92">
        <v>0.35</v>
      </c>
      <c r="D28" s="141">
        <f>C28*'Costos indirectos'!C$29</f>
        <v>1526.3256169</v>
      </c>
      <c r="E28" s="141">
        <f t="shared" si="2"/>
        <v>190790.7021125</v>
      </c>
      <c r="F28" s="12"/>
      <c r="G28" s="11" t="s">
        <v>17</v>
      </c>
      <c r="H28" s="12">
        <f>H27/24</f>
        <v>125</v>
      </c>
      <c r="I28" s="12">
        <v>0.35</v>
      </c>
      <c r="J28" s="141">
        <f>I28*'Costos indirectos'!C$29</f>
        <v>1526.3256169</v>
      </c>
      <c r="K28" s="141">
        <f t="shared" si="3"/>
        <v>190790.7021125</v>
      </c>
      <c r="L28" s="12"/>
    </row>
    <row r="29" ht="13.5" spans="1:12">
      <c r="A29" s="11" t="s">
        <v>18</v>
      </c>
      <c r="B29" s="92">
        <v>4</v>
      </c>
      <c r="C29" s="92">
        <v>8</v>
      </c>
      <c r="D29" s="141">
        <f>C29*'Costos indirectos'!C$29</f>
        <v>34887.442672</v>
      </c>
      <c r="E29" s="141">
        <f t="shared" si="2"/>
        <v>139549.770688</v>
      </c>
      <c r="F29" s="12"/>
      <c r="G29" s="11" t="s">
        <v>18</v>
      </c>
      <c r="H29" s="12">
        <v>4</v>
      </c>
      <c r="I29" s="12">
        <v>8</v>
      </c>
      <c r="J29" s="141">
        <f>I29*'Costos indirectos'!C$29</f>
        <v>34887.442672</v>
      </c>
      <c r="K29" s="141">
        <f t="shared" si="3"/>
        <v>139549.770688</v>
      </c>
      <c r="L29" s="12"/>
    </row>
    <row r="30" spans="1:11">
      <c r="A30" s="163"/>
      <c r="B30" s="164"/>
      <c r="C30" s="164"/>
      <c r="D30" s="165"/>
      <c r="E30" s="165"/>
      <c r="F30" s="164"/>
      <c r="G30" s="182"/>
      <c r="H30" s="20"/>
      <c r="I30" s="20"/>
      <c r="J30" s="193"/>
      <c r="K30" s="193"/>
    </row>
    <row r="31" ht="13.5" spans="1:12">
      <c r="A31" s="166"/>
      <c r="B31" s="154" t="s">
        <v>19</v>
      </c>
      <c r="D31" s="167"/>
      <c r="E31" s="183">
        <f>SUM(E21:E29)</f>
        <v>5661105.08126729</v>
      </c>
      <c r="F31" s="16"/>
      <c r="G31" s="189"/>
      <c r="H31" s="145" t="s">
        <v>19</v>
      </c>
      <c r="J31" s="167"/>
      <c r="K31" s="183">
        <f>SUM(K21:K29)</f>
        <v>5421268.74006043</v>
      </c>
      <c r="L31" s="16"/>
    </row>
    <row r="32" spans="1:11">
      <c r="A32" s="168"/>
      <c r="B32" s="169"/>
      <c r="C32" s="169"/>
      <c r="D32" s="170"/>
      <c r="E32" s="170"/>
      <c r="F32" s="148"/>
      <c r="G32" s="147"/>
      <c r="H32" s="148"/>
      <c r="I32" s="148"/>
      <c r="J32" s="149"/>
      <c r="K32" s="149"/>
    </row>
    <row r="33" ht="13.5" spans="1:11">
      <c r="A33" s="166"/>
      <c r="B33" s="154" t="s">
        <v>20</v>
      </c>
      <c r="D33" s="167"/>
      <c r="E33" s="183">
        <f>E31*2.5%</f>
        <v>141527.627031682</v>
      </c>
      <c r="F33" s="16"/>
      <c r="G33" s="15"/>
      <c r="H33" s="145" t="s">
        <v>20</v>
      </c>
      <c r="J33" s="167"/>
      <c r="K33" s="183">
        <f>K31*2.5%</f>
        <v>135531.718501511</v>
      </c>
    </row>
    <row r="34" spans="1:11">
      <c r="A34" s="171"/>
      <c r="B34" s="151"/>
      <c r="C34" s="151"/>
      <c r="D34" s="172"/>
      <c r="E34" s="172"/>
      <c r="F34" s="152"/>
      <c r="G34" s="150"/>
      <c r="H34" s="151"/>
      <c r="I34" s="151"/>
      <c r="J34" s="172"/>
      <c r="K34" s="172"/>
    </row>
    <row r="35" ht="15" spans="1:12">
      <c r="A35" s="173"/>
      <c r="B35" s="174" t="s">
        <v>6</v>
      </c>
      <c r="C35" s="174"/>
      <c r="D35" s="175"/>
      <c r="E35" s="183">
        <f>E33+E31</f>
        <v>5802632.70829898</v>
      </c>
      <c r="F35" s="16"/>
      <c r="G35" s="15"/>
      <c r="H35" s="154" t="s">
        <v>6</v>
      </c>
      <c r="J35" s="167"/>
      <c r="K35" s="183">
        <f>K33+K31</f>
        <v>5556800.45856194</v>
      </c>
      <c r="L35" s="16"/>
    </row>
    <row r="36" spans="1:7">
      <c r="A36" s="176"/>
      <c r="B36" s="177"/>
      <c r="C36" s="177"/>
      <c r="D36" s="177"/>
      <c r="E36" s="177"/>
      <c r="F36" s="190"/>
      <c r="G36" s="190"/>
    </row>
  </sheetData>
  <mergeCells count="11">
    <mergeCell ref="B13:C13"/>
    <mergeCell ref="H13:I13"/>
    <mergeCell ref="B14:C14"/>
    <mergeCell ref="H14:I14"/>
    <mergeCell ref="B15:C15"/>
    <mergeCell ref="H15:I15"/>
    <mergeCell ref="H19:K19"/>
    <mergeCell ref="B20:C20"/>
    <mergeCell ref="B30:C30"/>
    <mergeCell ref="B34:C34"/>
    <mergeCell ref="B35:C35"/>
  </mergeCells>
  <pageMargins left="0.7875" right="0.7875" top="1.05277777777778" bottom="1.05277777777778" header="0.7875" footer="0.7875"/>
  <pageSetup paperSize="1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2E75B6"/>
  </sheetPr>
  <dimension ref="A1:D8"/>
  <sheetViews>
    <sheetView workbookViewId="0">
      <selection activeCell="A2" sqref="A2"/>
    </sheetView>
  </sheetViews>
  <sheetFormatPr defaultColWidth="11.5714285714286" defaultRowHeight="12" outlineLevelRow="7" outlineLevelCol="3"/>
  <cols>
    <col min="1" max="1" width="33" customWidth="1"/>
    <col min="3" max="3" width="19.2857142857143" customWidth="1"/>
  </cols>
  <sheetData>
    <row r="1" ht="13.5" spans="1:4">
      <c r="A1" s="125" t="s">
        <v>27</v>
      </c>
      <c r="B1" s="126" t="s">
        <v>28</v>
      </c>
      <c r="C1" s="127">
        <f>SUM(C2:C5)</f>
        <v>22893030.923522</v>
      </c>
      <c r="D1" s="125"/>
    </row>
    <row r="2" ht="13.5" spans="1:4">
      <c r="A2" s="128" t="s">
        <v>29</v>
      </c>
      <c r="B2" s="129" t="s">
        <v>28</v>
      </c>
      <c r="C2" s="130">
        <f>Productos!E17</f>
        <v>5777951.41254346</v>
      </c>
      <c r="D2" s="128"/>
    </row>
    <row r="3" ht="13.5" spans="1:4">
      <c r="A3" s="128" t="s">
        <v>30</v>
      </c>
      <c r="B3" s="129" t="s">
        <v>28</v>
      </c>
      <c r="C3" s="130">
        <f>Productos!E35</f>
        <v>5802632.70829898</v>
      </c>
      <c r="D3" s="128"/>
    </row>
    <row r="4" ht="13.5" spans="1:4">
      <c r="A4" s="128" t="s">
        <v>31</v>
      </c>
      <c r="B4" s="129" t="s">
        <v>28</v>
      </c>
      <c r="C4" s="130">
        <f>Productos!K16</f>
        <v>5755646.34411763</v>
      </c>
      <c r="D4" s="128"/>
    </row>
    <row r="5" ht="13.5" spans="1:4">
      <c r="A5" s="128" t="s">
        <v>32</v>
      </c>
      <c r="B5" s="129" t="s">
        <v>28</v>
      </c>
      <c r="C5" s="130">
        <f>Productos!K35</f>
        <v>5556800.45856194</v>
      </c>
      <c r="D5" s="128"/>
    </row>
    <row r="6" ht="13.5" spans="1:4">
      <c r="A6" s="125" t="s">
        <v>33</v>
      </c>
      <c r="B6" s="126" t="s">
        <v>28</v>
      </c>
      <c r="C6" s="127">
        <f>'Mano de obra'!D11</f>
        <v>3379721.00885</v>
      </c>
      <c r="D6" s="125"/>
    </row>
    <row r="7" spans="1:3">
      <c r="A7" s="131"/>
      <c r="B7" s="131"/>
      <c r="C7" s="132"/>
    </row>
    <row r="8" ht="13.5" spans="1:4">
      <c r="A8" s="125" t="s">
        <v>34</v>
      </c>
      <c r="B8" s="125" t="s">
        <v>28</v>
      </c>
      <c r="C8" s="127">
        <f>C1+C6</f>
        <v>26272751.932372</v>
      </c>
      <c r="D8" s="125"/>
    </row>
  </sheetData>
  <pageMargins left="0.7875" right="0.7875" top="1.05277777777778" bottom="1.05277777777778" header="0.7875" footer="0.7875"/>
  <pageSetup paperSize="1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1F4E79"/>
  </sheetPr>
  <dimension ref="A1:M29"/>
  <sheetViews>
    <sheetView workbookViewId="0">
      <selection activeCell="A2" sqref="A2"/>
    </sheetView>
  </sheetViews>
  <sheetFormatPr defaultColWidth="11.5714285714286" defaultRowHeight="12"/>
  <cols>
    <col min="1" max="1" width="34.5714285714286" customWidth="1"/>
    <col min="2" max="2" width="17" style="67" customWidth="1"/>
    <col min="3" max="3" width="18.8571428571429" customWidth="1"/>
    <col min="5" max="5" width="28.5714285714286" customWidth="1"/>
    <col min="6" max="6" width="6.71428571428571" hidden="1" customWidth="1"/>
    <col min="7" max="7" width="12.7142857142857" style="84" customWidth="1"/>
    <col min="8" max="8" width="8.71428571428571" style="67" customWidth="1"/>
    <col min="9" max="9" width="10.1428571428571" hidden="1" customWidth="1"/>
    <col min="10" max="10" width="13.2857142857143" style="84" customWidth="1"/>
    <col min="11" max="11" width="4.57142857142857" customWidth="1"/>
    <col min="12" max="12" width="14.4190476190476" customWidth="1"/>
    <col min="13" max="13" width="12.8571428571429" customWidth="1"/>
  </cols>
  <sheetData>
    <row r="1" ht="18" spans="1:5">
      <c r="A1" s="85" t="s">
        <v>35</v>
      </c>
      <c r="B1" s="86"/>
      <c r="C1" s="87"/>
      <c r="E1" t="s">
        <v>36</v>
      </c>
    </row>
    <row r="3" ht="13.5" spans="1:13">
      <c r="A3" s="46" t="s">
        <v>37</v>
      </c>
      <c r="B3" s="71" t="s">
        <v>28</v>
      </c>
      <c r="C3" s="73">
        <f>M26</f>
        <v>195515.043307667</v>
      </c>
      <c r="E3" s="98" t="s">
        <v>38</v>
      </c>
      <c r="F3" s="99" t="s">
        <v>39</v>
      </c>
      <c r="G3" s="99" t="s">
        <v>39</v>
      </c>
      <c r="H3" s="100" t="s">
        <v>40</v>
      </c>
      <c r="I3" s="99" t="s">
        <v>41</v>
      </c>
      <c r="J3" s="99"/>
      <c r="K3" s="114" t="s">
        <v>42</v>
      </c>
      <c r="L3" s="115" t="s">
        <v>43</v>
      </c>
      <c r="M3" s="115"/>
    </row>
    <row r="4" ht="13.5" spans="1:13">
      <c r="A4" s="46" t="s">
        <v>44</v>
      </c>
      <c r="B4" s="71" t="s">
        <v>28</v>
      </c>
      <c r="C4" s="73">
        <f>20*C29</f>
        <v>87218.60668</v>
      </c>
      <c r="E4" s="101"/>
      <c r="F4" s="102" t="s">
        <v>45</v>
      </c>
      <c r="G4" s="102" t="s">
        <v>46</v>
      </c>
      <c r="H4" s="103"/>
      <c r="I4" s="102" t="s">
        <v>45</v>
      </c>
      <c r="J4" s="102" t="s">
        <v>46</v>
      </c>
      <c r="K4" s="116" t="s">
        <v>47</v>
      </c>
      <c r="L4" s="102" t="s">
        <v>48</v>
      </c>
      <c r="M4" s="116" t="s">
        <v>49</v>
      </c>
    </row>
    <row r="5" ht="13.5" spans="1:13">
      <c r="A5" s="46" t="s">
        <v>50</v>
      </c>
      <c r="B5" s="71" t="s">
        <v>28</v>
      </c>
      <c r="C5" s="73">
        <f>15*C29</f>
        <v>65413.95501</v>
      </c>
      <c r="E5" s="104" t="s">
        <v>51</v>
      </c>
      <c r="F5" s="105">
        <v>150</v>
      </c>
      <c r="G5" s="106">
        <f t="shared" ref="G5:G25" si="0">F5*C$29</f>
        <v>654139.5501</v>
      </c>
      <c r="H5" s="103">
        <v>2</v>
      </c>
      <c r="I5" s="65">
        <f>H5*F5</f>
        <v>300</v>
      </c>
      <c r="J5" s="117">
        <f t="shared" ref="J5:J25" si="1">H5*G5</f>
        <v>1308279.1002</v>
      </c>
      <c r="K5" s="105">
        <v>10</v>
      </c>
      <c r="L5" s="106">
        <f t="shared" ref="L5:L25" si="2">J5/K5</f>
        <v>130827.91002</v>
      </c>
      <c r="M5" s="122">
        <f t="shared" ref="M5:M25" si="3">L5/12</f>
        <v>10902.325835</v>
      </c>
    </row>
    <row r="6" ht="13.5" spans="1:13">
      <c r="A6" s="46" t="s">
        <v>52</v>
      </c>
      <c r="B6" s="71" t="s">
        <v>28</v>
      </c>
      <c r="C6" s="73">
        <f>120*C29</f>
        <v>523311.64008</v>
      </c>
      <c r="E6" s="104" t="s">
        <v>53</v>
      </c>
      <c r="F6" s="105">
        <v>125</v>
      </c>
      <c r="G6" s="106">
        <f t="shared" si="0"/>
        <v>545116.29175</v>
      </c>
      <c r="H6" s="103">
        <v>1</v>
      </c>
      <c r="I6" s="65">
        <v>125</v>
      </c>
      <c r="J6" s="117">
        <f t="shared" si="1"/>
        <v>545116.29175</v>
      </c>
      <c r="K6" s="105">
        <v>10</v>
      </c>
      <c r="L6" s="106">
        <f t="shared" si="2"/>
        <v>54511.629175</v>
      </c>
      <c r="M6" s="122">
        <f t="shared" si="3"/>
        <v>4542.63576458333</v>
      </c>
    </row>
    <row r="7" spans="1:13">
      <c r="A7" s="88"/>
      <c r="B7" s="89"/>
      <c r="C7" s="90"/>
      <c r="E7" s="104" t="s">
        <v>54</v>
      </c>
      <c r="F7" s="105">
        <v>75</v>
      </c>
      <c r="G7" s="106">
        <f t="shared" si="0"/>
        <v>327069.77505</v>
      </c>
      <c r="H7" s="103">
        <v>1</v>
      </c>
      <c r="I7" s="65">
        <f t="shared" ref="I7:I25" si="4">H7*F7</f>
        <v>75</v>
      </c>
      <c r="J7" s="117">
        <f t="shared" si="1"/>
        <v>327069.77505</v>
      </c>
      <c r="K7" s="105">
        <v>10</v>
      </c>
      <c r="L7" s="106">
        <f t="shared" si="2"/>
        <v>32706.977505</v>
      </c>
      <c r="M7" s="122">
        <f t="shared" si="3"/>
        <v>2725.58145875</v>
      </c>
    </row>
    <row r="8" ht="15" spans="1:13">
      <c r="A8" s="77" t="s">
        <v>55</v>
      </c>
      <c r="B8" s="78" t="s">
        <v>28</v>
      </c>
      <c r="C8" s="79">
        <f>SUM(C3:C6)</f>
        <v>871459.245077667</v>
      </c>
      <c r="E8" s="104" t="s">
        <v>56</v>
      </c>
      <c r="F8" s="105">
        <v>1200</v>
      </c>
      <c r="G8" s="106">
        <f t="shared" si="0"/>
        <v>5233116.4008</v>
      </c>
      <c r="H8" s="103">
        <v>1</v>
      </c>
      <c r="I8" s="65">
        <f t="shared" si="4"/>
        <v>1200</v>
      </c>
      <c r="J8" s="117">
        <f t="shared" si="1"/>
        <v>5233116.4008</v>
      </c>
      <c r="K8" s="105">
        <v>10</v>
      </c>
      <c r="L8" s="106">
        <f t="shared" si="2"/>
        <v>523311.64008</v>
      </c>
      <c r="M8" s="122">
        <f t="shared" si="3"/>
        <v>43609.30334</v>
      </c>
    </row>
    <row r="9" spans="5:13">
      <c r="E9" s="104" t="s">
        <v>57</v>
      </c>
      <c r="F9" s="105">
        <v>125</v>
      </c>
      <c r="G9" s="106">
        <f t="shared" si="0"/>
        <v>545116.29175</v>
      </c>
      <c r="H9" s="103">
        <v>1</v>
      </c>
      <c r="I9" s="65">
        <f t="shared" si="4"/>
        <v>125</v>
      </c>
      <c r="J9" s="117">
        <f t="shared" si="1"/>
        <v>545116.29175</v>
      </c>
      <c r="K9" s="105">
        <v>10</v>
      </c>
      <c r="L9" s="106">
        <f t="shared" si="2"/>
        <v>54511.629175</v>
      </c>
      <c r="M9" s="122">
        <f t="shared" si="3"/>
        <v>4542.63576458333</v>
      </c>
    </row>
    <row r="10" spans="5:13">
      <c r="E10" s="104" t="s">
        <v>58</v>
      </c>
      <c r="F10" s="105">
        <v>350</v>
      </c>
      <c r="G10" s="106">
        <f t="shared" si="0"/>
        <v>1526325.6169</v>
      </c>
      <c r="H10" s="103">
        <v>1</v>
      </c>
      <c r="I10" s="65">
        <f t="shared" si="4"/>
        <v>350</v>
      </c>
      <c r="J10" s="117">
        <f t="shared" si="1"/>
        <v>1526325.6169</v>
      </c>
      <c r="K10" s="105">
        <v>5</v>
      </c>
      <c r="L10" s="106">
        <f t="shared" si="2"/>
        <v>305265.12338</v>
      </c>
      <c r="M10" s="122">
        <f t="shared" si="3"/>
        <v>25438.7602816667</v>
      </c>
    </row>
    <row r="11" spans="5:13">
      <c r="E11" s="104" t="s">
        <v>59</v>
      </c>
      <c r="F11" s="105">
        <v>75</v>
      </c>
      <c r="G11" s="106">
        <f t="shared" si="0"/>
        <v>327069.77505</v>
      </c>
      <c r="H11" s="103">
        <v>1</v>
      </c>
      <c r="I11" s="65">
        <f t="shared" si="4"/>
        <v>75</v>
      </c>
      <c r="J11" s="117">
        <f t="shared" si="1"/>
        <v>327069.77505</v>
      </c>
      <c r="K11" s="105">
        <v>5</v>
      </c>
      <c r="L11" s="106">
        <f t="shared" si="2"/>
        <v>65413.95501</v>
      </c>
      <c r="M11" s="122">
        <f t="shared" si="3"/>
        <v>5451.1629175</v>
      </c>
    </row>
    <row r="12" ht="16.5" spans="1:13">
      <c r="A12" s="91" t="s">
        <v>60</v>
      </c>
      <c r="B12" s="87"/>
      <c r="C12" s="87"/>
      <c r="E12" s="104" t="s">
        <v>61</v>
      </c>
      <c r="F12" s="105">
        <v>75</v>
      </c>
      <c r="G12" s="106">
        <f t="shared" si="0"/>
        <v>327069.77505</v>
      </c>
      <c r="H12" s="103">
        <v>1</v>
      </c>
      <c r="I12" s="65">
        <f t="shared" si="4"/>
        <v>75</v>
      </c>
      <c r="J12" s="117">
        <f t="shared" si="1"/>
        <v>327069.77505</v>
      </c>
      <c r="K12" s="105">
        <v>5</v>
      </c>
      <c r="L12" s="106">
        <f t="shared" si="2"/>
        <v>65413.95501</v>
      </c>
      <c r="M12" s="122">
        <f t="shared" si="3"/>
        <v>5451.1629175</v>
      </c>
    </row>
    <row r="13" ht="13.5" spans="1:13">
      <c r="A13" s="46" t="s">
        <v>62</v>
      </c>
      <c r="B13" s="92" t="s">
        <v>28</v>
      </c>
      <c r="C13" s="93">
        <f>175*C29</f>
        <v>763162.80845</v>
      </c>
      <c r="E13" s="104" t="s">
        <v>63</v>
      </c>
      <c r="F13" s="105">
        <v>75</v>
      </c>
      <c r="G13" s="106">
        <f t="shared" si="0"/>
        <v>327069.77505</v>
      </c>
      <c r="H13" s="103">
        <v>2</v>
      </c>
      <c r="I13" s="65">
        <f t="shared" si="4"/>
        <v>150</v>
      </c>
      <c r="J13" s="117">
        <f t="shared" si="1"/>
        <v>654139.5501</v>
      </c>
      <c r="K13" s="105">
        <v>10</v>
      </c>
      <c r="L13" s="106">
        <f t="shared" si="2"/>
        <v>65413.95501</v>
      </c>
      <c r="M13" s="122">
        <f t="shared" si="3"/>
        <v>5451.1629175</v>
      </c>
    </row>
    <row r="14" ht="13.5" spans="1:13">
      <c r="A14" s="46" t="s">
        <v>64</v>
      </c>
      <c r="B14" s="92" t="s">
        <v>28</v>
      </c>
      <c r="C14" s="93">
        <f>100*C29</f>
        <v>436093.0334</v>
      </c>
      <c r="E14" s="104" t="s">
        <v>65</v>
      </c>
      <c r="F14" s="105">
        <v>75</v>
      </c>
      <c r="G14" s="106">
        <f t="shared" si="0"/>
        <v>327069.77505</v>
      </c>
      <c r="H14" s="103">
        <v>5</v>
      </c>
      <c r="I14" s="65">
        <f t="shared" si="4"/>
        <v>375</v>
      </c>
      <c r="J14" s="117">
        <f t="shared" si="1"/>
        <v>1635348.87525</v>
      </c>
      <c r="K14" s="105">
        <v>5</v>
      </c>
      <c r="L14" s="106">
        <f t="shared" si="2"/>
        <v>327069.77505</v>
      </c>
      <c r="M14" s="122">
        <f t="shared" si="3"/>
        <v>27255.8145875</v>
      </c>
    </row>
    <row r="15" ht="13.5" spans="1:13">
      <c r="A15" s="46" t="s">
        <v>66</v>
      </c>
      <c r="B15" s="92" t="s">
        <v>28</v>
      </c>
      <c r="C15" s="93">
        <f>15*C29</f>
        <v>65413.95501</v>
      </c>
      <c r="E15" s="104" t="s">
        <v>67</v>
      </c>
      <c r="F15" s="105">
        <v>10</v>
      </c>
      <c r="G15" s="106">
        <f t="shared" si="0"/>
        <v>43609.30334</v>
      </c>
      <c r="H15" s="103">
        <v>5</v>
      </c>
      <c r="I15" s="65">
        <f t="shared" si="4"/>
        <v>50</v>
      </c>
      <c r="J15" s="117">
        <f t="shared" si="1"/>
        <v>218046.5167</v>
      </c>
      <c r="K15" s="105">
        <v>5</v>
      </c>
      <c r="L15" s="106">
        <f t="shared" si="2"/>
        <v>43609.30334</v>
      </c>
      <c r="M15" s="122">
        <f t="shared" si="3"/>
        <v>3634.10861166667</v>
      </c>
    </row>
    <row r="16" ht="13.5" spans="1:13">
      <c r="A16" s="94"/>
      <c r="B16" s="94"/>
      <c r="C16" s="95"/>
      <c r="E16" s="104" t="s">
        <v>68</v>
      </c>
      <c r="F16" s="105">
        <v>3</v>
      </c>
      <c r="G16" s="106">
        <f t="shared" si="0"/>
        <v>13082.791002</v>
      </c>
      <c r="H16" s="103">
        <v>5</v>
      </c>
      <c r="I16" s="65">
        <f t="shared" si="4"/>
        <v>15</v>
      </c>
      <c r="J16" s="117">
        <f t="shared" si="1"/>
        <v>65413.95501</v>
      </c>
      <c r="K16" s="105">
        <v>5</v>
      </c>
      <c r="L16" s="106">
        <f t="shared" si="2"/>
        <v>13082.791002</v>
      </c>
      <c r="M16" s="122">
        <f t="shared" si="3"/>
        <v>1090.2325835</v>
      </c>
    </row>
    <row r="17" ht="15" spans="1:13">
      <c r="A17" s="77" t="s">
        <v>69</v>
      </c>
      <c r="B17" s="77" t="s">
        <v>28</v>
      </c>
      <c r="C17" s="96">
        <f>SUM(C13:C15)</f>
        <v>1264669.79686</v>
      </c>
      <c r="E17" s="104" t="s">
        <v>70</v>
      </c>
      <c r="F17" s="105">
        <v>2</v>
      </c>
      <c r="G17" s="106">
        <f t="shared" si="0"/>
        <v>8721.860668</v>
      </c>
      <c r="H17" s="103">
        <v>5</v>
      </c>
      <c r="I17" s="65">
        <f t="shared" si="4"/>
        <v>10</v>
      </c>
      <c r="J17" s="117">
        <f t="shared" si="1"/>
        <v>43609.30334</v>
      </c>
      <c r="K17" s="105">
        <v>2</v>
      </c>
      <c r="L17" s="106">
        <f t="shared" si="2"/>
        <v>21804.65167</v>
      </c>
      <c r="M17" s="122">
        <f t="shared" si="3"/>
        <v>1817.05430583333</v>
      </c>
    </row>
    <row r="18" ht="15" spans="1:13">
      <c r="A18" s="77"/>
      <c r="B18" s="77"/>
      <c r="C18" s="77"/>
      <c r="E18" s="104" t="s">
        <v>71</v>
      </c>
      <c r="F18" s="105">
        <v>7.5</v>
      </c>
      <c r="G18" s="106">
        <f t="shared" si="0"/>
        <v>32706.977505</v>
      </c>
      <c r="H18" s="103">
        <v>4</v>
      </c>
      <c r="I18" s="65">
        <f t="shared" si="4"/>
        <v>30</v>
      </c>
      <c r="J18" s="117">
        <f t="shared" si="1"/>
        <v>130827.91002</v>
      </c>
      <c r="K18" s="105">
        <v>2</v>
      </c>
      <c r="L18" s="106">
        <f t="shared" si="2"/>
        <v>65413.95501</v>
      </c>
      <c r="M18" s="122">
        <f t="shared" si="3"/>
        <v>5451.1629175</v>
      </c>
    </row>
    <row r="19" spans="1:13">
      <c r="A19" s="70"/>
      <c r="E19" s="104" t="s">
        <v>72</v>
      </c>
      <c r="F19" s="105">
        <v>1</v>
      </c>
      <c r="G19" s="106">
        <f t="shared" si="0"/>
        <v>4360.930334</v>
      </c>
      <c r="H19" s="103">
        <v>5</v>
      </c>
      <c r="I19" s="65">
        <f t="shared" si="4"/>
        <v>5</v>
      </c>
      <c r="J19" s="117">
        <f t="shared" si="1"/>
        <v>21804.65167</v>
      </c>
      <c r="K19" s="105">
        <v>2</v>
      </c>
      <c r="L19" s="106">
        <f t="shared" si="2"/>
        <v>10902.325835</v>
      </c>
      <c r="M19" s="122">
        <f t="shared" si="3"/>
        <v>908.527152916667</v>
      </c>
    </row>
    <row r="20" ht="17.25" spans="1:13">
      <c r="A20" s="97" t="s">
        <v>73</v>
      </c>
      <c r="B20" s="87"/>
      <c r="C20" s="87"/>
      <c r="E20" s="104" t="s">
        <v>74</v>
      </c>
      <c r="F20" s="105">
        <v>5</v>
      </c>
      <c r="G20" s="106">
        <f t="shared" si="0"/>
        <v>21804.65167</v>
      </c>
      <c r="H20" s="103">
        <v>2</v>
      </c>
      <c r="I20" s="65">
        <f t="shared" si="4"/>
        <v>10</v>
      </c>
      <c r="J20" s="117">
        <f t="shared" si="1"/>
        <v>43609.30334</v>
      </c>
      <c r="K20" s="105">
        <v>2</v>
      </c>
      <c r="L20" s="106">
        <f t="shared" si="2"/>
        <v>21804.65167</v>
      </c>
      <c r="M20" s="122">
        <f t="shared" si="3"/>
        <v>1817.05430583333</v>
      </c>
    </row>
    <row r="21" ht="13.5" spans="1:13">
      <c r="A21" s="46" t="s">
        <v>75</v>
      </c>
      <c r="B21" s="46" t="s">
        <v>28</v>
      </c>
      <c r="C21" s="73">
        <f>'Mano de obra'!D11</f>
        <v>3379721.00885</v>
      </c>
      <c r="E21" s="104" t="s">
        <v>76</v>
      </c>
      <c r="F21" s="105">
        <v>5</v>
      </c>
      <c r="G21" s="106">
        <f t="shared" si="0"/>
        <v>21804.65167</v>
      </c>
      <c r="H21" s="103">
        <v>2</v>
      </c>
      <c r="I21" s="65">
        <f t="shared" si="4"/>
        <v>10</v>
      </c>
      <c r="J21" s="117">
        <f t="shared" si="1"/>
        <v>43609.30334</v>
      </c>
      <c r="K21" s="105">
        <v>2</v>
      </c>
      <c r="L21" s="106">
        <f t="shared" si="2"/>
        <v>21804.65167</v>
      </c>
      <c r="M21" s="122">
        <f t="shared" si="3"/>
        <v>1817.05430583333</v>
      </c>
    </row>
    <row r="22" ht="13.5" spans="1:13">
      <c r="A22" s="46" t="s">
        <v>77</v>
      </c>
      <c r="B22" s="46" t="s">
        <v>28</v>
      </c>
      <c r="C22" s="73">
        <f>C8</f>
        <v>871459.245077667</v>
      </c>
      <c r="E22" s="104" t="s">
        <v>78</v>
      </c>
      <c r="F22" s="105">
        <v>5</v>
      </c>
      <c r="G22" s="106">
        <f t="shared" si="0"/>
        <v>21804.65167</v>
      </c>
      <c r="H22" s="103">
        <v>2</v>
      </c>
      <c r="I22" s="65">
        <f t="shared" si="4"/>
        <v>10</v>
      </c>
      <c r="J22" s="117">
        <f t="shared" si="1"/>
        <v>43609.30334</v>
      </c>
      <c r="K22" s="105">
        <v>2</v>
      </c>
      <c r="L22" s="106">
        <f t="shared" si="2"/>
        <v>21804.65167</v>
      </c>
      <c r="M22" s="122">
        <f t="shared" si="3"/>
        <v>1817.05430583333</v>
      </c>
    </row>
    <row r="23" ht="13.5" spans="1:13">
      <c r="A23" s="46" t="s">
        <v>79</v>
      </c>
      <c r="B23" s="46" t="s">
        <v>28</v>
      </c>
      <c r="C23" s="73">
        <f>C17</f>
        <v>1264669.79686</v>
      </c>
      <c r="E23" s="104" t="s">
        <v>80</v>
      </c>
      <c r="F23" s="105">
        <v>30</v>
      </c>
      <c r="G23" s="106">
        <f t="shared" si="0"/>
        <v>130827.91002</v>
      </c>
      <c r="H23" s="103">
        <v>5</v>
      </c>
      <c r="I23" s="65">
        <f t="shared" si="4"/>
        <v>150</v>
      </c>
      <c r="J23" s="117">
        <f t="shared" si="1"/>
        <v>654139.5501</v>
      </c>
      <c r="K23" s="105">
        <v>2</v>
      </c>
      <c r="L23" s="106">
        <f t="shared" si="2"/>
        <v>327069.77505</v>
      </c>
      <c r="M23" s="122">
        <f t="shared" si="3"/>
        <v>27255.8145875</v>
      </c>
    </row>
    <row r="24" ht="15" spans="1:13">
      <c r="A24" s="77" t="s">
        <v>81</v>
      </c>
      <c r="B24" s="77" t="s">
        <v>28</v>
      </c>
      <c r="C24" s="79">
        <f>SUM(C21:C23)</f>
        <v>5515850.05078767</v>
      </c>
      <c r="E24" s="104" t="s">
        <v>82</v>
      </c>
      <c r="F24" s="105">
        <v>50</v>
      </c>
      <c r="G24" s="106">
        <f t="shared" si="0"/>
        <v>218046.5167</v>
      </c>
      <c r="H24" s="103">
        <v>1</v>
      </c>
      <c r="I24" s="65">
        <f t="shared" si="4"/>
        <v>50</v>
      </c>
      <c r="J24" s="117">
        <f t="shared" si="1"/>
        <v>218046.5167</v>
      </c>
      <c r="K24" s="105">
        <v>2</v>
      </c>
      <c r="L24" s="106">
        <f t="shared" si="2"/>
        <v>109023.25835</v>
      </c>
      <c r="M24" s="122">
        <f t="shared" si="3"/>
        <v>9085.27152916667</v>
      </c>
    </row>
    <row r="25" ht="12.75" spans="5:13">
      <c r="E25" s="107" t="s">
        <v>83</v>
      </c>
      <c r="F25" s="108">
        <v>15</v>
      </c>
      <c r="G25" s="109">
        <f t="shared" si="0"/>
        <v>65413.95501</v>
      </c>
      <c r="H25" s="110">
        <v>1</v>
      </c>
      <c r="I25" s="118">
        <f t="shared" si="4"/>
        <v>15</v>
      </c>
      <c r="J25" s="119">
        <f t="shared" si="1"/>
        <v>65413.95501</v>
      </c>
      <c r="K25" s="108">
        <v>1</v>
      </c>
      <c r="L25" s="109">
        <f t="shared" si="2"/>
        <v>65413.95501</v>
      </c>
      <c r="M25" s="123">
        <f t="shared" si="3"/>
        <v>5451.1629175</v>
      </c>
    </row>
    <row r="26" ht="14.25" spans="5:13">
      <c r="E26" s="111"/>
      <c r="F26" s="112"/>
      <c r="G26" s="112"/>
      <c r="H26" s="113"/>
      <c r="I26" s="112"/>
      <c r="J26" s="112"/>
      <c r="K26" s="120"/>
      <c r="L26" s="121">
        <f>SUM(L5:L25)</f>
        <v>2346180.519692</v>
      </c>
      <c r="M26" s="124">
        <f>SUM(M5:M25)</f>
        <v>195515.043307667</v>
      </c>
    </row>
    <row r="29" spans="1:4">
      <c r="A29">
        <v>2</v>
      </c>
      <c r="B29" s="3">
        <f>Table_1[1.00 USD▲▼]</f>
        <v>4360930334</v>
      </c>
      <c r="C29" s="3">
        <f>B29/1000000</f>
        <v>4360.930334</v>
      </c>
      <c r="D29" s="3">
        <f>A29*C29</f>
        <v>8721.860668</v>
      </c>
    </row>
  </sheetData>
  <mergeCells count="2">
    <mergeCell ref="L3:M3"/>
    <mergeCell ref="A16:B16"/>
  </mergeCells>
  <pageMargins left="0.7875" right="0.7875" top="1.05277777777778" bottom="1.05277777777778" header="0.7875" footer="0.7875"/>
  <pageSetup paperSize="1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203864"/>
  </sheetPr>
  <dimension ref="A1:G8"/>
  <sheetViews>
    <sheetView workbookViewId="0">
      <selection activeCell="G5" sqref="G5"/>
    </sheetView>
  </sheetViews>
  <sheetFormatPr defaultColWidth="11.5714285714286" defaultRowHeight="12" outlineLevelRow="7" outlineLevelCol="6"/>
  <cols>
    <col min="1" max="1" width="41" customWidth="1"/>
    <col min="2" max="2" width="3" style="67" customWidth="1"/>
    <col min="3" max="3" width="20.1428571428571" customWidth="1"/>
    <col min="5" max="5" width="17.7142857142857" customWidth="1"/>
    <col min="6" max="6" width="3" customWidth="1"/>
    <col min="7" max="7" width="24.8" style="67" customWidth="1"/>
    <col min="9" max="9" width="15.847619047619" customWidth="1"/>
  </cols>
  <sheetData>
    <row r="1" ht="21.75" customHeight="1" spans="1:7">
      <c r="A1" s="68" t="s">
        <v>84</v>
      </c>
      <c r="E1" s="40" t="s">
        <v>85</v>
      </c>
      <c r="F1" s="40" t="s">
        <v>28</v>
      </c>
      <c r="G1" s="80" t="s">
        <v>86</v>
      </c>
    </row>
    <row r="2" ht="20.25" spans="1:7">
      <c r="A2" s="69"/>
      <c r="E2" s="40"/>
      <c r="F2" s="40"/>
      <c r="G2" s="78" t="s">
        <v>87</v>
      </c>
    </row>
    <row r="3" spans="1:6">
      <c r="A3" s="70"/>
      <c r="E3" s="81"/>
      <c r="F3" s="28"/>
    </row>
    <row r="4" ht="16.5" customHeight="1" spans="1:7">
      <c r="A4" s="46" t="s">
        <v>88</v>
      </c>
      <c r="B4" s="71" t="s">
        <v>28</v>
      </c>
      <c r="C4" s="72">
        <f>'Costos variables'!C8</f>
        <v>26272751.932372</v>
      </c>
      <c r="E4" s="40" t="s">
        <v>85</v>
      </c>
      <c r="F4" s="40" t="s">
        <v>28</v>
      </c>
      <c r="G4" s="82">
        <f>C8</f>
        <v>28408880.9743097</v>
      </c>
    </row>
    <row r="5" ht="15" spans="1:7">
      <c r="A5" s="46" t="s">
        <v>77</v>
      </c>
      <c r="B5" s="71" t="s">
        <v>28</v>
      </c>
      <c r="C5" s="73">
        <f>'Costos indirectos'!C8</f>
        <v>871459.245077667</v>
      </c>
      <c r="E5" s="40"/>
      <c r="F5" s="40"/>
      <c r="G5" s="79">
        <f>Productos!B26+Productos!H26+Productos!B9+Productos!H8</f>
        <v>12000</v>
      </c>
    </row>
    <row r="6" ht="15" spans="1:7">
      <c r="A6" s="46" t="s">
        <v>60</v>
      </c>
      <c r="B6" s="71" t="s">
        <v>28</v>
      </c>
      <c r="C6" s="73">
        <f>'Costos indirectos'!C17</f>
        <v>1264669.79686</v>
      </c>
      <c r="F6" s="83" t="s">
        <v>28</v>
      </c>
      <c r="G6" s="79">
        <f>G4/G5</f>
        <v>2367.40674785914</v>
      </c>
    </row>
    <row r="7" spans="1:3">
      <c r="A7" s="74"/>
      <c r="B7" s="75"/>
      <c r="C7" s="76"/>
    </row>
    <row r="8" ht="15" spans="1:4">
      <c r="A8" s="77" t="s">
        <v>89</v>
      </c>
      <c r="B8" s="78" t="s">
        <v>28</v>
      </c>
      <c r="C8" s="79">
        <f>SUM(C4:C6)</f>
        <v>28408880.9743097</v>
      </c>
      <c r="D8" s="77"/>
    </row>
  </sheetData>
  <mergeCells count="4">
    <mergeCell ref="E1:E2"/>
    <mergeCell ref="E4:E5"/>
    <mergeCell ref="F1:F2"/>
    <mergeCell ref="F4:F5"/>
  </mergeCells>
  <pageMargins left="0.7875" right="0.7875" top="1.05277777777778" bottom="1.05277777777778" header="0.7875" footer="0.7875"/>
  <pageSetup paperSize="1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2" sqref="A2"/>
    </sheetView>
  </sheetViews>
  <sheetFormatPr defaultColWidth="11.5714285714286" defaultRowHeight="12"/>
  <cols>
    <col min="1" max="1" width="25.7142857142857" customWidth="1"/>
    <col min="3" max="3" width="14.4190476190476" customWidth="1"/>
    <col min="4" max="4" width="16.2857142857143" customWidth="1"/>
    <col min="7" max="7" width="61.4190476190476" customWidth="1"/>
  </cols>
  <sheetData>
    <row r="1" ht="16.5" spans="1:7">
      <c r="A1" s="44" t="s">
        <v>33</v>
      </c>
      <c r="G1" t="s">
        <v>90</v>
      </c>
    </row>
    <row r="2" ht="16.5" spans="1:7">
      <c r="A2" s="45"/>
      <c r="G2" t="s">
        <v>91</v>
      </c>
    </row>
    <row r="3" ht="13.5" spans="1:9">
      <c r="A3" s="46" t="s">
        <v>92</v>
      </c>
      <c r="G3" s="1" t="s">
        <v>93</v>
      </c>
      <c r="H3" t="s">
        <v>94</v>
      </c>
      <c r="I3" t="s">
        <v>95</v>
      </c>
    </row>
    <row r="4" ht="13.5" spans="1:9">
      <c r="A4" s="47"/>
      <c r="G4" s="64" t="s">
        <v>96</v>
      </c>
      <c r="H4" s="65" t="s">
        <v>97</v>
      </c>
      <c r="I4" s="65">
        <v>5</v>
      </c>
    </row>
    <row r="5" ht="13.5" spans="1:9">
      <c r="A5" s="46" t="s">
        <v>98</v>
      </c>
      <c r="G5" s="64" t="s">
        <v>99</v>
      </c>
      <c r="H5" s="65"/>
      <c r="I5" s="65">
        <v>10</v>
      </c>
    </row>
    <row r="6" ht="13.5" spans="1:9">
      <c r="A6" s="46"/>
      <c r="G6" s="64" t="s">
        <v>100</v>
      </c>
      <c r="H6" s="65"/>
      <c r="I6" s="65">
        <v>20</v>
      </c>
    </row>
    <row r="7" ht="13.5" spans="1:9">
      <c r="A7" s="48" t="s">
        <v>101</v>
      </c>
      <c r="B7" s="49" t="s">
        <v>40</v>
      </c>
      <c r="C7" s="49" t="s">
        <v>102</v>
      </c>
      <c r="D7" s="49"/>
      <c r="G7" s="64" t="s">
        <v>103</v>
      </c>
      <c r="H7" s="65"/>
      <c r="I7" s="65">
        <v>10</v>
      </c>
    </row>
    <row r="8" ht="13.5" spans="1:9">
      <c r="A8" s="50"/>
      <c r="B8" s="50"/>
      <c r="C8" s="49" t="s">
        <v>104</v>
      </c>
      <c r="D8" s="49" t="s">
        <v>105</v>
      </c>
      <c r="G8" s="64" t="s">
        <v>106</v>
      </c>
      <c r="H8" s="65"/>
      <c r="I8" s="65">
        <v>15</v>
      </c>
    </row>
    <row r="9" ht="13.5" spans="1:9">
      <c r="A9" s="51" t="s">
        <v>107</v>
      </c>
      <c r="B9" s="52">
        <v>1</v>
      </c>
      <c r="C9" s="53">
        <f>175*'Costos indirectos'!C29</f>
        <v>763162.80845</v>
      </c>
      <c r="D9" s="54">
        <f>C9*B9</f>
        <v>763162.80845</v>
      </c>
      <c r="G9" s="64" t="s">
        <v>108</v>
      </c>
      <c r="H9" s="65"/>
      <c r="I9" s="65">
        <v>10</v>
      </c>
    </row>
    <row r="10" ht="13.5" spans="1:9">
      <c r="A10" s="55" t="s">
        <v>109</v>
      </c>
      <c r="B10" s="56">
        <v>5</v>
      </c>
      <c r="C10" s="53">
        <f>120*'Costos indirectos'!C29</f>
        <v>523311.64008</v>
      </c>
      <c r="D10" s="54">
        <f>C10*B10</f>
        <v>2616558.2004</v>
      </c>
      <c r="G10" s="64" t="s">
        <v>110</v>
      </c>
      <c r="H10" s="65"/>
      <c r="I10" s="65">
        <v>1</v>
      </c>
    </row>
    <row r="11" ht="13.5" spans="1:9">
      <c r="A11" s="57"/>
      <c r="B11" s="48" t="s">
        <v>111</v>
      </c>
      <c r="C11" s="58"/>
      <c r="D11" s="59">
        <f>D9+D10</f>
        <v>3379721.00885</v>
      </c>
      <c r="G11" s="64" t="s">
        <v>112</v>
      </c>
      <c r="H11" s="65"/>
      <c r="I11" s="65">
        <v>10</v>
      </c>
    </row>
    <row r="12" ht="13.5" spans="7:9">
      <c r="G12" s="64" t="s">
        <v>113</v>
      </c>
      <c r="H12" s="65"/>
      <c r="I12" s="65">
        <v>30</v>
      </c>
    </row>
    <row r="13" ht="13.5" spans="7:9">
      <c r="G13" s="64" t="s">
        <v>114</v>
      </c>
      <c r="H13" s="65"/>
      <c r="I13" s="65">
        <v>15</v>
      </c>
    </row>
    <row r="14" ht="13.5" spans="7:9">
      <c r="G14" s="64" t="s">
        <v>115</v>
      </c>
      <c r="H14" s="65"/>
      <c r="I14" s="65">
        <v>15</v>
      </c>
    </row>
    <row r="15" ht="13.5" spans="1:9">
      <c r="A15" s="60"/>
      <c r="B15" s="60"/>
      <c r="C15" s="60"/>
      <c r="D15" s="60"/>
      <c r="E15" s="60"/>
      <c r="G15" s="64" t="s">
        <v>116</v>
      </c>
      <c r="H15" s="65"/>
      <c r="I15" s="65">
        <v>25</v>
      </c>
    </row>
    <row r="16" ht="13.5" spans="1:9">
      <c r="A16" s="60"/>
      <c r="B16" s="60"/>
      <c r="C16" s="60"/>
      <c r="D16" s="60"/>
      <c r="E16" s="66"/>
      <c r="G16" s="64" t="s">
        <v>117</v>
      </c>
      <c r="H16" s="65"/>
      <c r="I16" s="65">
        <f>SUM(I4:I15)</f>
        <v>166</v>
      </c>
    </row>
    <row r="17" ht="13.5" spans="1:9">
      <c r="A17" s="61"/>
      <c r="B17" s="60"/>
      <c r="C17" s="60"/>
      <c r="D17" s="60"/>
      <c r="E17" s="60"/>
      <c r="G17" s="64" t="s">
        <v>118</v>
      </c>
      <c r="H17" s="65"/>
      <c r="I17" s="65">
        <f>I16/60</f>
        <v>2.76666666666667</v>
      </c>
    </row>
    <row r="18" spans="1:5">
      <c r="A18" s="62"/>
      <c r="B18" s="63"/>
      <c r="C18" s="63"/>
      <c r="D18" s="63"/>
      <c r="E18" s="63"/>
    </row>
    <row r="19" spans="1:5">
      <c r="A19" s="60"/>
      <c r="B19" s="60"/>
      <c r="C19" s="60"/>
      <c r="D19" s="60"/>
      <c r="E19" s="60"/>
    </row>
    <row r="20" spans="1:5">
      <c r="A20" s="60"/>
      <c r="B20" s="60"/>
      <c r="C20" s="60"/>
      <c r="D20" s="60"/>
      <c r="E20" s="60"/>
    </row>
    <row r="21" spans="1:5">
      <c r="A21" s="60"/>
      <c r="B21" s="60"/>
      <c r="C21" s="60"/>
      <c r="D21" s="60"/>
      <c r="E21" s="60"/>
    </row>
  </sheetData>
  <autoFilter ref="G3:G17">
    <extLst/>
  </autoFilter>
  <mergeCells count="2">
    <mergeCell ref="C7:D7"/>
    <mergeCell ref="B18:C18"/>
  </mergeCells>
  <pageMargins left="0.7875" right="0.7875" top="1.05277777777778" bottom="1.05277777777778" header="0.7875" footer="0.7875"/>
  <pageSetup paperSize="1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1" sqref="C1"/>
    </sheetView>
  </sheetViews>
  <sheetFormatPr defaultColWidth="11.5714285714286" defaultRowHeight="12" outlineLevelCol="7"/>
  <cols>
    <col min="1" max="1" width="27.4190476190476" customWidth="1"/>
    <col min="2" max="2" width="3" customWidth="1"/>
    <col min="3" max="3" width="47.1428571428571" customWidth="1"/>
  </cols>
  <sheetData>
    <row r="1" ht="16.5" customHeight="1" spans="1:3">
      <c r="A1" s="21" t="s">
        <v>119</v>
      </c>
      <c r="B1" s="22" t="s">
        <v>28</v>
      </c>
      <c r="C1" s="23" t="s">
        <v>120</v>
      </c>
    </row>
    <row r="2" ht="15.75" customHeight="1" spans="1:3">
      <c r="A2" s="21"/>
      <c r="B2" s="22"/>
      <c r="C2" s="24" t="s">
        <v>121</v>
      </c>
    </row>
    <row r="4" ht="12.75"/>
    <row r="5" ht="16.5" customHeight="1" spans="1:3">
      <c r="A5" s="21" t="s">
        <v>122</v>
      </c>
      <c r="B5" s="22" t="s">
        <v>28</v>
      </c>
      <c r="C5" s="25" t="s">
        <v>123</v>
      </c>
    </row>
    <row r="6" ht="15.75" customHeight="1" spans="1:3">
      <c r="A6" s="21"/>
      <c r="B6" s="22"/>
      <c r="C6" s="26" t="s">
        <v>124</v>
      </c>
    </row>
    <row r="7" ht="12.75" spans="1:8">
      <c r="A7" s="27"/>
      <c r="B7" s="27"/>
      <c r="C7" s="27"/>
      <c r="D7" s="28"/>
      <c r="E7" s="28"/>
      <c r="F7" s="28"/>
      <c r="G7" s="28"/>
      <c r="H7" s="28"/>
    </row>
    <row r="8" ht="16.5" customHeight="1" spans="1:4">
      <c r="A8" s="21" t="s">
        <v>122</v>
      </c>
      <c r="B8" s="22" t="s">
        <v>28</v>
      </c>
      <c r="C8" s="29">
        <f>'Costos variables'!C8</f>
        <v>26272751.932372</v>
      </c>
      <c r="D8" s="30"/>
    </row>
    <row r="9" ht="15.75" customHeight="1" spans="1:4">
      <c r="A9" s="21"/>
      <c r="B9" s="22"/>
      <c r="C9" s="31">
        <f>Productos!B8+Productos!H8+Productos!B26+Productos!H26</f>
        <v>12000</v>
      </c>
      <c r="D9" s="32"/>
    </row>
    <row r="10" ht="14.25" spans="1:7">
      <c r="A10" s="28"/>
      <c r="C10" s="33"/>
      <c r="D10" s="28"/>
      <c r="E10" s="28"/>
      <c r="F10" s="28"/>
      <c r="G10" s="28"/>
    </row>
    <row r="11" ht="15.75" spans="1:3">
      <c r="A11" s="34" t="s">
        <v>122</v>
      </c>
      <c r="B11" s="35" t="s">
        <v>28</v>
      </c>
      <c r="C11" s="36">
        <f>C8/C9</f>
        <v>2189.39599436433</v>
      </c>
    </row>
    <row r="12" ht="12.75"/>
    <row r="13" ht="14.25" spans="1:3">
      <c r="A13" s="37" t="s">
        <v>125</v>
      </c>
      <c r="B13" s="38" t="s">
        <v>28</v>
      </c>
      <c r="C13" s="39">
        <f>'Costo total de fabricación'!G6*1.17</f>
        <v>2769.86589499519</v>
      </c>
    </row>
    <row r="15" ht="20.25" customHeight="1" spans="1:3">
      <c r="A15" s="40" t="s">
        <v>119</v>
      </c>
      <c r="B15" s="40" t="s">
        <v>28</v>
      </c>
      <c r="C15" s="41">
        <f>'Costos indirectos'!C24</f>
        <v>5515850.05078767</v>
      </c>
    </row>
    <row r="16" ht="17.25" spans="1:3">
      <c r="A16" s="40"/>
      <c r="B16" s="40"/>
      <c r="C16" s="42">
        <f>(C13-C11)</f>
        <v>580.469900630859</v>
      </c>
    </row>
    <row r="17" ht="18" customHeight="1" spans="1:3">
      <c r="A17" s="43" t="s">
        <v>126</v>
      </c>
      <c r="B17" s="43" t="s">
        <v>28</v>
      </c>
      <c r="C17" s="43">
        <f>C15/C16</f>
        <v>9502.38771173664</v>
      </c>
    </row>
    <row r="18" ht="12.75" customHeight="1" spans="1:3">
      <c r="A18" s="43"/>
      <c r="B18" s="43"/>
      <c r="C18" s="43"/>
    </row>
  </sheetData>
  <mergeCells count="12">
    <mergeCell ref="A7:C7"/>
    <mergeCell ref="A1:A2"/>
    <mergeCell ref="A5:A6"/>
    <mergeCell ref="A8:A9"/>
    <mergeCell ref="A15:A16"/>
    <mergeCell ref="A17:A18"/>
    <mergeCell ref="B1:B2"/>
    <mergeCell ref="B5:B6"/>
    <mergeCell ref="B8:B9"/>
    <mergeCell ref="B15:B16"/>
    <mergeCell ref="B17:B18"/>
    <mergeCell ref="C17:C18"/>
  </mergeCells>
  <pageMargins left="0.7875" right="0.7875" top="1.05277777777778" bottom="1.05277777777778" header="0.7875" footer="0.7875"/>
  <pageSetup paperSize="1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A1" sqref="A1"/>
    </sheetView>
  </sheetViews>
  <sheetFormatPr defaultColWidth="11.5714285714286" defaultRowHeight="12" outlineLevelCol="3"/>
  <cols>
    <col min="1" max="1" width="31.2857142857143" customWidth="1"/>
  </cols>
  <sheetData>
    <row r="1" spans="1:4">
      <c r="A1" s="4" t="s">
        <v>2</v>
      </c>
      <c r="B1" s="5" t="s">
        <v>127</v>
      </c>
      <c r="C1" s="5" t="s">
        <v>39</v>
      </c>
      <c r="D1" s="6" t="s">
        <v>41</v>
      </c>
    </row>
    <row r="2" spans="1:4">
      <c r="A2" s="7"/>
      <c r="B2" s="8"/>
      <c r="C2" s="9" t="s">
        <v>128</v>
      </c>
      <c r="D2" s="10" t="s">
        <v>129</v>
      </c>
    </row>
    <row r="3" ht="13.5" spans="1:4">
      <c r="A3" s="11" t="s">
        <v>130</v>
      </c>
      <c r="B3" s="12">
        <v>2</v>
      </c>
      <c r="C3" s="12">
        <v>150</v>
      </c>
      <c r="D3" s="12">
        <v>300</v>
      </c>
    </row>
    <row r="4" ht="13.5" spans="1:4">
      <c r="A4" s="11" t="s">
        <v>53</v>
      </c>
      <c r="B4" s="12">
        <v>1</v>
      </c>
      <c r="C4" s="12">
        <v>125</v>
      </c>
      <c r="D4" s="12">
        <v>125</v>
      </c>
    </row>
    <row r="5" ht="13.5" spans="1:4">
      <c r="A5" s="11" t="s">
        <v>54</v>
      </c>
      <c r="B5" s="12">
        <v>1</v>
      </c>
      <c r="C5" s="12">
        <v>75</v>
      </c>
      <c r="D5" s="12" t="s">
        <v>131</v>
      </c>
    </row>
    <row r="6" ht="13.5" spans="1:4">
      <c r="A6" s="11" t="s">
        <v>132</v>
      </c>
      <c r="B6" s="12">
        <v>1</v>
      </c>
      <c r="C6" s="12">
        <v>1.2</v>
      </c>
      <c r="D6" s="12">
        <v>1.2</v>
      </c>
    </row>
    <row r="7" ht="13.5" spans="1:4">
      <c r="A7" s="11" t="s">
        <v>57</v>
      </c>
      <c r="B7" s="12">
        <v>1</v>
      </c>
      <c r="C7" s="12">
        <v>125</v>
      </c>
      <c r="D7" s="12">
        <v>125</v>
      </c>
    </row>
    <row r="8" ht="13.5" spans="1:4">
      <c r="A8" s="11" t="s">
        <v>58</v>
      </c>
      <c r="B8" s="12">
        <v>1</v>
      </c>
      <c r="C8" s="12">
        <v>350</v>
      </c>
      <c r="D8" s="12">
        <v>350</v>
      </c>
    </row>
    <row r="9" ht="13.5" spans="1:4">
      <c r="A9" s="11" t="s">
        <v>59</v>
      </c>
      <c r="B9" s="12">
        <v>1</v>
      </c>
      <c r="C9" s="12">
        <v>75</v>
      </c>
      <c r="D9" s="12">
        <v>75</v>
      </c>
    </row>
    <row r="10" ht="13.5" spans="1:4">
      <c r="A10" s="11" t="s">
        <v>61</v>
      </c>
      <c r="B10" s="12">
        <v>1</v>
      </c>
      <c r="C10" s="12">
        <v>75</v>
      </c>
      <c r="D10" s="12">
        <v>75</v>
      </c>
    </row>
    <row r="11" ht="13.5" spans="1:4">
      <c r="A11" s="11" t="s">
        <v>63</v>
      </c>
      <c r="B11" s="12">
        <v>2</v>
      </c>
      <c r="C11" s="12">
        <v>75</v>
      </c>
      <c r="D11" s="12">
        <v>150</v>
      </c>
    </row>
    <row r="12" ht="13.5" spans="1:4">
      <c r="A12" s="11" t="s">
        <v>65</v>
      </c>
      <c r="B12" s="12">
        <v>5</v>
      </c>
      <c r="C12" s="12">
        <v>75</v>
      </c>
      <c r="D12" s="12">
        <v>375</v>
      </c>
    </row>
    <row r="13" ht="13.5" spans="1:4">
      <c r="A13" s="11" t="s">
        <v>67</v>
      </c>
      <c r="B13" s="12">
        <v>5</v>
      </c>
      <c r="C13" s="12">
        <v>10</v>
      </c>
      <c r="D13" s="12">
        <v>50</v>
      </c>
    </row>
    <row r="14" ht="13.5" spans="1:4">
      <c r="A14" s="11" t="s">
        <v>68</v>
      </c>
      <c r="B14" s="12">
        <v>5</v>
      </c>
      <c r="C14" s="12">
        <v>3</v>
      </c>
      <c r="D14" s="12">
        <v>15</v>
      </c>
    </row>
    <row r="15" ht="13.5" spans="1:4">
      <c r="A15" s="11" t="s">
        <v>70</v>
      </c>
      <c r="B15" s="12">
        <v>5</v>
      </c>
      <c r="C15" s="12">
        <v>2</v>
      </c>
      <c r="D15" s="12">
        <v>10</v>
      </c>
    </row>
    <row r="16" ht="13.5" spans="1:4">
      <c r="A16" s="11" t="s">
        <v>71</v>
      </c>
      <c r="B16" s="12">
        <v>4</v>
      </c>
      <c r="C16" s="12">
        <v>7</v>
      </c>
      <c r="D16" s="12">
        <v>30</v>
      </c>
    </row>
    <row r="17" ht="13.5" spans="1:4">
      <c r="A17" s="11" t="s">
        <v>72</v>
      </c>
      <c r="B17" s="12">
        <v>5</v>
      </c>
      <c r="C17" s="12">
        <v>1</v>
      </c>
      <c r="D17" s="12">
        <v>5</v>
      </c>
    </row>
    <row r="18" ht="13.5" spans="1:4">
      <c r="A18" s="11" t="s">
        <v>74</v>
      </c>
      <c r="B18" s="12">
        <v>2</v>
      </c>
      <c r="C18" s="12">
        <v>5</v>
      </c>
      <c r="D18" s="12">
        <v>10</v>
      </c>
    </row>
    <row r="19" ht="13.5" spans="1:4">
      <c r="A19" s="11" t="s">
        <v>76</v>
      </c>
      <c r="B19" s="12">
        <v>2</v>
      </c>
      <c r="C19" s="12">
        <v>5</v>
      </c>
      <c r="D19" s="12">
        <v>10</v>
      </c>
    </row>
    <row r="20" ht="13.5" spans="1:4">
      <c r="A20" s="11" t="s">
        <v>78</v>
      </c>
      <c r="B20" s="12">
        <v>2</v>
      </c>
      <c r="C20" s="12">
        <v>5</v>
      </c>
      <c r="D20" s="12">
        <v>10</v>
      </c>
    </row>
    <row r="21" ht="13.5" spans="1:4">
      <c r="A21" s="11" t="s">
        <v>133</v>
      </c>
      <c r="B21" s="12">
        <v>5</v>
      </c>
      <c r="C21" s="12">
        <v>30</v>
      </c>
      <c r="D21" s="12">
        <v>150</v>
      </c>
    </row>
    <row r="22" ht="13.5" spans="1:4">
      <c r="A22" s="11" t="s">
        <v>134</v>
      </c>
      <c r="B22" s="12">
        <v>1</v>
      </c>
      <c r="C22" s="12">
        <v>50</v>
      </c>
      <c r="D22" s="12">
        <v>50</v>
      </c>
    </row>
    <row r="23" ht="13.5" spans="1:4">
      <c r="A23" s="11" t="s">
        <v>135</v>
      </c>
      <c r="B23" s="12">
        <v>1</v>
      </c>
      <c r="C23" s="12">
        <v>15</v>
      </c>
      <c r="D23" s="12">
        <v>15</v>
      </c>
    </row>
    <row r="24" spans="1:4">
      <c r="A24" s="13"/>
      <c r="B24" s="14"/>
      <c r="C24" s="14"/>
      <c r="D24" s="14"/>
    </row>
    <row r="25" ht="13.5" spans="1:4">
      <c r="A25" s="15"/>
      <c r="B25" s="16" t="s">
        <v>136</v>
      </c>
      <c r="C25" s="16"/>
      <c r="D25" s="17">
        <v>3.205</v>
      </c>
    </row>
    <row r="26" spans="1:4">
      <c r="A26" s="18"/>
      <c r="B26" s="19"/>
      <c r="C26" s="20"/>
      <c r="D26" s="20"/>
    </row>
  </sheetData>
  <mergeCells count="1">
    <mergeCell ref="B25:C25"/>
  </mergeCells>
  <pageMargins left="0.7875" right="0.7875" top="1.05277777777778" bottom="1.05277777777778" header="0.7875" footer="0.7875"/>
  <pageSetup paperSize="1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E22" sqref="E22"/>
    </sheetView>
  </sheetViews>
  <sheetFormatPr defaultColWidth="10.6761904761905" defaultRowHeight="12" outlineLevelRow="1" outlineLevelCol="1"/>
  <cols>
    <col min="1" max="1" width="21" customWidth="1"/>
    <col min="2" max="2" width="17" customWidth="1"/>
  </cols>
  <sheetData>
    <row r="1" spans="1:2">
      <c r="A1" s="1" t="s">
        <v>137</v>
      </c>
      <c r="B1" s="1" t="s">
        <v>138</v>
      </c>
    </row>
    <row r="2" spans="1:2">
      <c r="A2" s="2" t="s">
        <v>139</v>
      </c>
      <c r="B2" s="3">
        <v>4360930334</v>
      </c>
    </row>
  </sheetData>
  <pageMargins left="0.7" right="0.7" top="0.75" bottom="0.75" header="0.511811023622047" footer="0.511811023622047"/>
  <pageSetup paperSize="1" orientation="portrait" horizontalDpi="300" verticalDpi="300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LibreOffice/7.4.2.1$Linux_X86_64 LibreOffice_project/40$Build-1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Productos</vt:lpstr>
      <vt:lpstr>Costos variables</vt:lpstr>
      <vt:lpstr>Costos indirectos</vt:lpstr>
      <vt:lpstr>Costo total de fabricación</vt:lpstr>
      <vt:lpstr>Mano de obra</vt:lpstr>
      <vt:lpstr>Punto de equilibrio</vt:lpstr>
      <vt:lpstr>Equipos y materiales</vt:lpstr>
      <vt:lpstr>dOLAR HOY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C.E. Pineda Rodriguez</dc:creator>
  <cp:lastModifiedBy>cpinedar</cp:lastModifiedBy>
  <cp:revision>8</cp:revision>
  <dcterms:created xsi:type="dcterms:W3CDTF">2022-08-24T01:21:00Z</dcterms:created>
  <dcterms:modified xsi:type="dcterms:W3CDTF">2022-11-18T11:38:38Z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3082-10.1.0.6757</vt:lpwstr>
  </property>
</Properties>
</file>